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e7c260d911598c/Documents/HN Course-DESKTOP-CE6D8RG/Budget Calculator/"/>
    </mc:Choice>
  </mc:AlternateContent>
  <xr:revisionPtr revIDLastSave="501" documentId="8_{10667774-75E8-43C0-85FD-3BDD9938637E}" xr6:coauthVersionLast="47" xr6:coauthVersionMax="47" xr10:uidLastSave="{809936CE-F57D-4107-9D3F-F1B6F3BB6F0E}"/>
  <workbookProtection workbookAlgorithmName="SHA-512" workbookHashValue="JPieFZKE3yy8oc8iakQ/BNq1Sgbho9ID26XY0EUGTlb7AHMoUkLagBGEPKUN2Zro6mSywET2BGEZcNRtf4iB7Q==" workbookSaltValue="lCcMmU44A7SOPtKMrMIe6A==" workbookSpinCount="100000" lockStructure="1"/>
  <bookViews>
    <workbookView xWindow="-28920" yWindow="-120" windowWidth="29040" windowHeight="15720" activeTab="7" xr2:uid="{00000000-000D-0000-FFFF-FFFF00000000}"/>
  </bookViews>
  <sheets>
    <sheet name="Intro" sheetId="7" r:id="rId1"/>
    <sheet name="Income" sheetId="5" r:id="rId2"/>
    <sheet name="Savings" sheetId="8" r:id="rId3"/>
    <sheet name="Non Housing Expenses" sheetId="6" r:id="rId4"/>
    <sheet name="Housing Subsidy" sheetId="14" r:id="rId5"/>
    <sheet name="Rent" sheetId="3" r:id="rId6"/>
    <sheet name="Own (House)" sheetId="4" r:id="rId7"/>
    <sheet name="Own (Co-Op, Condo)" sheetId="16" r:id="rId8"/>
    <sheet name="Group" sheetId="11" r:id="rId9"/>
    <sheet name="Mortgage" sheetId="9" r:id="rId10"/>
    <sheet name="_SSC" sheetId="13" state="veryHidden" r:id="rId11"/>
  </sheets>
  <definedNames>
    <definedName name="_inputcolorcell" localSheetId="4" hidden="1">'Housing Subsidy'!$B$3</definedName>
    <definedName name="_inputcolorcell" hidden="1">#REF!</definedName>
    <definedName name="_xlnm.Print_Area" localSheetId="4">'Housing Subsidy'!$A$1:$D$57</definedName>
    <definedName name="_xlnm.Print_Area" localSheetId="1">Income!$A$1:$D$57</definedName>
    <definedName name="_xlnm.Print_Area" localSheetId="0">Intro!$A$1:$A$20</definedName>
    <definedName name="_xlnm.Print_Area" localSheetId="3">'Non Housing Expenses'!$A$1:$C$25</definedName>
    <definedName name="_xlnm.Print_Area" localSheetId="7">'Own (Co-Op, Condo)'!$A$1:$F$30</definedName>
    <definedName name="_xlnm.Print_Area" localSheetId="6">'Own (House)'!$A$1:$F$42</definedName>
    <definedName name="_xlnm.Print_Area" localSheetId="5">Rent!$A$1:$D$18</definedName>
    <definedName name="_xlnm.Print_Area" localSheetId="2">Savings!$A$1:$G$21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5" l="1"/>
  <c r="D8" i="5"/>
  <c r="D9" i="5"/>
  <c r="D7" i="5"/>
  <c r="C10" i="3"/>
  <c r="C9" i="3"/>
  <c r="C5" i="3"/>
  <c r="C23" i="6" l="1"/>
  <c r="C6" i="9"/>
  <c r="C5" i="9"/>
  <c r="C9" i="9"/>
  <c r="F10" i="16"/>
  <c r="F9" i="16"/>
  <c r="F8" i="16"/>
  <c r="C20" i="16"/>
  <c r="F16" i="16" s="1"/>
  <c r="C17" i="16"/>
  <c r="C16" i="16"/>
  <c r="F6" i="16"/>
  <c r="F19" i="16" s="1"/>
  <c r="F20" i="4"/>
  <c r="F21" i="4"/>
  <c r="F19" i="4"/>
  <c r="C7" i="6"/>
  <c r="F12" i="16" l="1"/>
  <c r="F18" i="16" s="1"/>
  <c r="C18" i="16"/>
  <c r="C10" i="9"/>
  <c r="C51" i="14"/>
  <c r="C50" i="14"/>
  <c r="C41" i="14"/>
  <c r="C23" i="14"/>
  <c r="C31" i="14" s="1"/>
  <c r="B11" i="14"/>
  <c r="B14" i="3" l="1"/>
  <c r="E38" i="4"/>
  <c r="D39" i="14"/>
  <c r="E26" i="16"/>
  <c r="C11" i="9"/>
  <c r="C12" i="9" s="1"/>
  <c r="C19" i="16"/>
  <c r="F15" i="16" s="1"/>
  <c r="F22" i="16" s="1"/>
  <c r="D40" i="14"/>
  <c r="D50" i="14"/>
  <c r="D51" i="14"/>
  <c r="D37" i="14"/>
  <c r="D38" i="14"/>
  <c r="F5" i="4"/>
  <c r="F6" i="4"/>
  <c r="F7" i="4"/>
  <c r="F8" i="4"/>
  <c r="F9" i="4"/>
  <c r="F10" i="4"/>
  <c r="F11" i="4"/>
  <c r="F4" i="4"/>
  <c r="F26" i="16" l="1"/>
  <c r="D41" i="14"/>
  <c r="B6" i="9"/>
  <c r="C7" i="3"/>
  <c r="D19" i="11" l="1"/>
  <c r="C14" i="11"/>
  <c r="D14" i="11" s="1"/>
  <c r="C20" i="11" s="1"/>
  <c r="D20" i="11" s="1"/>
  <c r="D12" i="11"/>
  <c r="D11" i="11"/>
  <c r="D10" i="11"/>
  <c r="D9" i="11"/>
  <c r="B9" i="9"/>
  <c r="E8" i="9"/>
  <c r="F17" i="4"/>
  <c r="F30" i="4" s="1"/>
  <c r="C31" i="4"/>
  <c r="C28" i="4"/>
  <c r="C27" i="4"/>
  <c r="C20" i="8"/>
  <c r="C21" i="8" s="1"/>
  <c r="G13" i="8"/>
  <c r="G15" i="8" s="1"/>
  <c r="C10" i="6" s="1"/>
  <c r="C12" i="6" s="1"/>
  <c r="C25" i="6" s="1"/>
  <c r="C10" i="8"/>
  <c r="C15" i="8" s="1"/>
  <c r="C16" i="8" s="1"/>
  <c r="D39" i="5"/>
  <c r="D10" i="5"/>
  <c r="D3" i="5"/>
  <c r="D18" i="5" s="1"/>
  <c r="D49" i="5" l="1"/>
  <c r="D41" i="5"/>
  <c r="D15" i="5" s="1"/>
  <c r="D20" i="5" s="1"/>
  <c r="F12" i="4"/>
  <c r="F31" i="4" s="1"/>
  <c r="F27" i="4"/>
  <c r="J8" i="9"/>
  <c r="C29" i="4"/>
  <c r="B5" i="9" s="1"/>
  <c r="K8" i="9" s="1"/>
  <c r="H8" i="9" s="1"/>
  <c r="C6" i="3"/>
  <c r="C12" i="8"/>
  <c r="C13" i="8" s="1"/>
  <c r="D6" i="5"/>
  <c r="D21" i="5" l="1"/>
  <c r="D25" i="5" s="1"/>
  <c r="D26" i="5" s="1"/>
  <c r="D28" i="5" s="1"/>
  <c r="D16" i="5"/>
  <c r="C54" i="5"/>
  <c r="C56" i="5" s="1"/>
  <c r="C57" i="5" s="1"/>
  <c r="C15" i="14"/>
  <c r="C13" i="3"/>
  <c r="C14" i="3" s="1"/>
  <c r="F23" i="4"/>
  <c r="F29" i="4" s="1"/>
  <c r="B10" i="9"/>
  <c r="D17" i="5" l="1"/>
  <c r="D29" i="5" s="1"/>
  <c r="D31" i="5" s="1"/>
  <c r="G8" i="9"/>
  <c r="I8" i="9" s="1"/>
  <c r="K9" i="9" s="1"/>
  <c r="H9" i="9" s="1"/>
  <c r="B11" i="9"/>
  <c r="B12" i="9" s="1"/>
  <c r="C30" i="4"/>
  <c r="F26" i="4" s="1"/>
  <c r="F34" i="4" s="1"/>
  <c r="F38" i="4" s="1"/>
  <c r="G9" i="9" l="1"/>
  <c r="I9" i="9" s="1"/>
  <c r="K10" i="9" s="1"/>
  <c r="G10" i="9" s="1"/>
  <c r="H10" i="9" l="1"/>
  <c r="I10" i="9" s="1"/>
  <c r="K11" i="9" s="1"/>
  <c r="H11" i="9" s="1"/>
  <c r="G11" i="9" l="1"/>
  <c r="I11" i="9" s="1"/>
  <c r="K12" i="9" s="1"/>
  <c r="G12" i="9" s="1"/>
  <c r="H12" i="9" l="1"/>
  <c r="I12" i="9" s="1"/>
  <c r="K13" i="9" s="1"/>
  <c r="H13" i="9" s="1"/>
  <c r="G13" i="9"/>
  <c r="I13" i="9" l="1"/>
  <c r="K14" i="9" s="1"/>
  <c r="G14" i="9" s="1"/>
  <c r="H14" i="9" l="1"/>
  <c r="I14" i="9" s="1"/>
  <c r="K15" i="9" s="1"/>
  <c r="H15" i="9" s="1"/>
  <c r="G15" i="9" l="1"/>
  <c r="I15" i="9" s="1"/>
  <c r="K16" i="9" s="1"/>
  <c r="G16" i="9" s="1"/>
  <c r="H16" i="9" l="1"/>
  <c r="I16" i="9" s="1"/>
  <c r="K17" i="9" s="1"/>
  <c r="G17" i="9" s="1"/>
  <c r="H17" i="9" l="1"/>
  <c r="I17" i="9" s="1"/>
  <c r="K18" i="9" s="1"/>
  <c r="H18" i="9" l="1"/>
  <c r="G18" i="9"/>
  <c r="I18" i="9" l="1"/>
  <c r="K19" i="9" s="1"/>
  <c r="G19" i="9" s="1"/>
  <c r="H19" i="9" l="1"/>
  <c r="I19" i="9" s="1"/>
  <c r="K20" i="9" s="1"/>
  <c r="H20" i="9" l="1"/>
  <c r="G20" i="9"/>
  <c r="I20" i="9" l="1"/>
  <c r="K21" i="9" s="1"/>
  <c r="G21" i="9" s="1"/>
  <c r="H21" i="9" l="1"/>
  <c r="I21" i="9"/>
  <c r="K22" i="9" s="1"/>
  <c r="G22" i="9" s="1"/>
  <c r="H22" i="9" l="1"/>
  <c r="I22" i="9" s="1"/>
  <c r="K23" i="9" s="1"/>
  <c r="G23" i="9" l="1"/>
  <c r="H23" i="9"/>
  <c r="I23" i="9" l="1"/>
  <c r="K24" i="9" s="1"/>
  <c r="G24" i="9" s="1"/>
  <c r="H24" i="9" l="1"/>
  <c r="I24" i="9" s="1"/>
  <c r="K25" i="9" s="1"/>
  <c r="H25" i="9" s="1"/>
  <c r="G25" i="9" l="1"/>
  <c r="I25" i="9" s="1"/>
  <c r="K26" i="9" s="1"/>
  <c r="H26" i="9" l="1"/>
  <c r="G26" i="9"/>
  <c r="I26" i="9" l="1"/>
  <c r="K27" i="9" s="1"/>
  <c r="H27" i="9" s="1"/>
  <c r="G27" i="9" l="1"/>
  <c r="I27" i="9" s="1"/>
  <c r="K28" i="9" s="1"/>
  <c r="H28" i="9" s="1"/>
  <c r="G28" i="9" l="1"/>
  <c r="I28" i="9" s="1"/>
  <c r="K29" i="9" s="1"/>
  <c r="G29" i="9" l="1"/>
  <c r="H29" i="9"/>
  <c r="I29" i="9" l="1"/>
  <c r="K30" i="9" s="1"/>
  <c r="G30" i="9" s="1"/>
  <c r="H30" i="9" l="1"/>
  <c r="I30" i="9" s="1"/>
  <c r="K31" i="9" s="1"/>
  <c r="H31" i="9" s="1"/>
  <c r="G31" i="9" l="1"/>
  <c r="I31" i="9" s="1"/>
  <c r="K32" i="9" s="1"/>
  <c r="H32" i="9" s="1"/>
  <c r="G32" i="9" l="1"/>
  <c r="I32" i="9" s="1"/>
  <c r="K33" i="9" s="1"/>
  <c r="G33" i="9" s="1"/>
  <c r="H33" i="9" l="1"/>
  <c r="I33" i="9" s="1"/>
  <c r="K34" i="9" s="1"/>
  <c r="H34" i="9" s="1"/>
  <c r="G34" i="9" l="1"/>
  <c r="I34" i="9" s="1"/>
  <c r="K35" i="9" s="1"/>
  <c r="H35" i="9" s="1"/>
  <c r="G35" i="9" l="1"/>
  <c r="I35" i="9" s="1"/>
  <c r="K36" i="9" s="1"/>
  <c r="H36" i="9" s="1"/>
  <c r="G36" i="9" l="1"/>
  <c r="I36" i="9" s="1"/>
  <c r="K37" i="9" s="1"/>
  <c r="H37" i="9" s="1"/>
  <c r="G37" i="9" l="1"/>
  <c r="I37" i="9" s="1"/>
  <c r="K38" i="9" s="1"/>
  <c r="G38" i="9" s="1"/>
  <c r="H38" i="9" l="1"/>
  <c r="I38" i="9" s="1"/>
  <c r="K39" i="9" s="1"/>
  <c r="H39" i="9" l="1"/>
  <c r="G39" i="9"/>
  <c r="I39" i="9" l="1"/>
  <c r="K40" i="9" s="1"/>
  <c r="G40" i="9" s="1"/>
  <c r="H40" i="9" l="1"/>
  <c r="I40" i="9" s="1"/>
  <c r="K41" i="9" s="1"/>
  <c r="H41" i="9" s="1"/>
  <c r="G41" i="9" l="1"/>
  <c r="I41" i="9" s="1"/>
  <c r="K42" i="9" s="1"/>
  <c r="H42" i="9" s="1"/>
  <c r="G42" i="9" l="1"/>
  <c r="I42" i="9" s="1"/>
  <c r="K43" i="9" s="1"/>
  <c r="H43" i="9" s="1"/>
  <c r="G43" i="9" l="1"/>
  <c r="I43" i="9" s="1"/>
  <c r="K44" i="9" s="1"/>
  <c r="H44" i="9" s="1"/>
  <c r="G44" i="9" l="1"/>
  <c r="I44" i="9" s="1"/>
  <c r="K45" i="9" s="1"/>
  <c r="H45" i="9" s="1"/>
  <c r="G45" i="9" l="1"/>
  <c r="I45" i="9" s="1"/>
  <c r="K46" i="9" s="1"/>
  <c r="H46" i="9" s="1"/>
  <c r="G46" i="9" l="1"/>
  <c r="I46" i="9" s="1"/>
  <c r="K47" i="9" s="1"/>
  <c r="H47" i="9" s="1"/>
  <c r="G47" i="9" l="1"/>
  <c r="I47" i="9" s="1"/>
  <c r="K48" i="9" s="1"/>
  <c r="H48" i="9" s="1"/>
  <c r="G48" i="9" l="1"/>
  <c r="I48" i="9" s="1"/>
  <c r="K49" i="9" s="1"/>
  <c r="G49" i="9" s="1"/>
  <c r="H49" i="9" l="1"/>
  <c r="I49" i="9" s="1"/>
  <c r="K50" i="9" s="1"/>
  <c r="H50" i="9" s="1"/>
  <c r="G50" i="9" l="1"/>
  <c r="I50" i="9" s="1"/>
  <c r="K51" i="9" s="1"/>
  <c r="H51" i="9" s="1"/>
  <c r="G51" i="9" l="1"/>
  <c r="I51" i="9" s="1"/>
  <c r="K52" i="9" s="1"/>
  <c r="G52" i="9" s="1"/>
  <c r="H52" i="9" l="1"/>
  <c r="I52" i="9" s="1"/>
  <c r="K53" i="9" s="1"/>
  <c r="G53" i="9" l="1"/>
  <c r="H53" i="9"/>
  <c r="I53" i="9" l="1"/>
  <c r="K54" i="9" s="1"/>
  <c r="H54" i="9" l="1"/>
  <c r="G54" i="9"/>
  <c r="I54" i="9" l="1"/>
  <c r="K55" i="9" s="1"/>
  <c r="G55" i="9" s="1"/>
  <c r="H55" i="9" l="1"/>
  <c r="I55" i="9" s="1"/>
  <c r="K56" i="9" s="1"/>
  <c r="H56" i="9" l="1"/>
  <c r="G56" i="9"/>
  <c r="I56" i="9" s="1"/>
  <c r="K57" i="9" s="1"/>
  <c r="H57" i="9" l="1"/>
  <c r="G57" i="9"/>
  <c r="I57" i="9" l="1"/>
  <c r="K58" i="9" s="1"/>
  <c r="G58" i="9" s="1"/>
  <c r="H58" i="9" l="1"/>
  <c r="I58" i="9" s="1"/>
  <c r="K59" i="9" s="1"/>
  <c r="H59" i="9" l="1"/>
  <c r="G59" i="9"/>
  <c r="I59" i="9" l="1"/>
  <c r="K60" i="9" s="1"/>
  <c r="H60" i="9" s="1"/>
  <c r="G60" i="9" l="1"/>
  <c r="I60" i="9" s="1"/>
  <c r="K61" i="9" s="1"/>
  <c r="H61" i="9" s="1"/>
  <c r="G61" i="9" l="1"/>
  <c r="I61" i="9" s="1"/>
  <c r="K62" i="9" s="1"/>
  <c r="H62" i="9" l="1"/>
  <c r="G62" i="9"/>
  <c r="I62" i="9" l="1"/>
  <c r="K63" i="9" s="1"/>
  <c r="G63" i="9" s="1"/>
  <c r="H63" i="9"/>
  <c r="I63" i="9" l="1"/>
  <c r="K64" i="9" s="1"/>
  <c r="H64" i="9" s="1"/>
  <c r="G64" i="9" l="1"/>
  <c r="I64" i="9" s="1"/>
  <c r="K65" i="9" s="1"/>
  <c r="H65" i="9" l="1"/>
  <c r="G65" i="9"/>
  <c r="I65" i="9" l="1"/>
  <c r="K66" i="9" s="1"/>
  <c r="H66" i="9" s="1"/>
  <c r="G66" i="9" l="1"/>
  <c r="I66" i="9" s="1"/>
  <c r="K67" i="9" s="1"/>
  <c r="H67" i="9" s="1"/>
  <c r="G67" i="9" l="1"/>
  <c r="I67" i="9" s="1"/>
  <c r="K68" i="9" s="1"/>
  <c r="G68" i="9" s="1"/>
  <c r="H68" i="9" l="1"/>
  <c r="I68" i="9" s="1"/>
  <c r="K69" i="9" s="1"/>
  <c r="H69" i="9" s="1"/>
  <c r="G69" i="9" l="1"/>
  <c r="I69" i="9" s="1"/>
  <c r="K70" i="9" s="1"/>
  <c r="G70" i="9" l="1"/>
  <c r="H70" i="9"/>
  <c r="I70" i="9" l="1"/>
  <c r="K71" i="9" s="1"/>
  <c r="H71" i="9" l="1"/>
  <c r="G71" i="9"/>
  <c r="I71" i="9" l="1"/>
  <c r="K72" i="9" s="1"/>
  <c r="H72" i="9" l="1"/>
  <c r="G72" i="9"/>
  <c r="I72" i="9" l="1"/>
  <c r="K73" i="9" s="1"/>
  <c r="G73" i="9" s="1"/>
  <c r="H73" i="9" l="1"/>
  <c r="I73" i="9"/>
  <c r="K74" i="9" s="1"/>
  <c r="H74" i="9"/>
  <c r="G74" i="9"/>
  <c r="I74" i="9" s="1"/>
  <c r="K75" i="9" s="1"/>
  <c r="H75" i="9" l="1"/>
  <c r="G75" i="9"/>
  <c r="I75" i="9" l="1"/>
  <c r="K76" i="9" s="1"/>
  <c r="H76" i="9" s="1"/>
  <c r="G76" i="9" l="1"/>
  <c r="I76" i="9" s="1"/>
  <c r="K77" i="9" s="1"/>
  <c r="G77" i="9" l="1"/>
  <c r="H77" i="9"/>
  <c r="I77" i="9" l="1"/>
  <c r="K78" i="9" s="1"/>
  <c r="H78" i="9" l="1"/>
  <c r="G78" i="9"/>
  <c r="I78" i="9" l="1"/>
  <c r="K79" i="9" s="1"/>
  <c r="G79" i="9" s="1"/>
  <c r="H79" i="9" l="1"/>
  <c r="I79" i="9" s="1"/>
  <c r="K80" i="9" s="1"/>
  <c r="H80" i="9" s="1"/>
  <c r="G80" i="9" l="1"/>
  <c r="I80" i="9" s="1"/>
  <c r="K81" i="9" s="1"/>
  <c r="H81" i="9" s="1"/>
  <c r="G81" i="9" l="1"/>
  <c r="I81" i="9" s="1"/>
  <c r="K82" i="9" s="1"/>
  <c r="H82" i="9" l="1"/>
  <c r="G82" i="9"/>
  <c r="I82" i="9" l="1"/>
  <c r="K83" i="9" s="1"/>
  <c r="G83" i="9" s="1"/>
  <c r="H83" i="9" l="1"/>
  <c r="I83" i="9" s="1"/>
  <c r="K84" i="9" s="1"/>
  <c r="G84" i="9" s="1"/>
  <c r="H84" i="9" l="1"/>
  <c r="I84" i="9" s="1"/>
  <c r="K85" i="9" s="1"/>
  <c r="G85" i="9" l="1"/>
  <c r="H85" i="9"/>
  <c r="I85" i="9" l="1"/>
  <c r="K86" i="9" s="1"/>
  <c r="G86" i="9" s="1"/>
  <c r="H86" i="9" l="1"/>
  <c r="I86" i="9" s="1"/>
  <c r="K87" i="9" s="1"/>
  <c r="H87" i="9" s="1"/>
  <c r="G87" i="9" l="1"/>
  <c r="I87" i="9" s="1"/>
  <c r="K88" i="9" s="1"/>
  <c r="H88" i="9" l="1"/>
  <c r="G88" i="9"/>
  <c r="I88" i="9" l="1"/>
  <c r="K89" i="9" s="1"/>
  <c r="H89" i="9" s="1"/>
  <c r="G89" i="9" l="1"/>
  <c r="I89" i="9" s="1"/>
  <c r="K90" i="9" s="1"/>
  <c r="H90" i="9" l="1"/>
  <c r="G90" i="9"/>
  <c r="I90" i="9" l="1"/>
  <c r="K91" i="9" s="1"/>
  <c r="H91" i="9" s="1"/>
  <c r="G91" i="9" l="1"/>
  <c r="I91" i="9" s="1"/>
  <c r="K92" i="9" s="1"/>
  <c r="H92" i="9" l="1"/>
  <c r="G92" i="9"/>
  <c r="I92" i="9" l="1"/>
  <c r="K93" i="9" s="1"/>
  <c r="H93" i="9" s="1"/>
  <c r="G93" i="9" l="1"/>
  <c r="I93" i="9" s="1"/>
  <c r="K94" i="9" s="1"/>
  <c r="H94" i="9" l="1"/>
  <c r="G94" i="9"/>
  <c r="I94" i="9" l="1"/>
  <c r="K95" i="9" s="1"/>
  <c r="G95" i="9" l="1"/>
  <c r="H95" i="9"/>
  <c r="I95" i="9" l="1"/>
  <c r="K96" i="9" s="1"/>
  <c r="H96" i="9" s="1"/>
  <c r="G96" i="9" l="1"/>
  <c r="I96" i="9" s="1"/>
  <c r="K97" i="9" s="1"/>
  <c r="G97" i="9" l="1"/>
  <c r="H97" i="9"/>
  <c r="I97" i="9" l="1"/>
  <c r="K98" i="9" s="1"/>
  <c r="H98" i="9" s="1"/>
  <c r="G98" i="9" l="1"/>
  <c r="I98" i="9" s="1"/>
  <c r="K99" i="9" s="1"/>
  <c r="G99" i="9" l="1"/>
  <c r="H99" i="9"/>
  <c r="I99" i="9" l="1"/>
  <c r="K100" i="9" s="1"/>
  <c r="H100" i="9" s="1"/>
  <c r="G100" i="9" l="1"/>
  <c r="I100" i="9" s="1"/>
  <c r="K101" i="9" s="1"/>
  <c r="G101" i="9" s="1"/>
  <c r="H101" i="9" l="1"/>
  <c r="I101" i="9" s="1"/>
  <c r="K102" i="9" s="1"/>
  <c r="G102" i="9" s="1"/>
  <c r="H102" i="9" l="1"/>
  <c r="I102" i="9" s="1"/>
  <c r="K103" i="9" s="1"/>
  <c r="G103" i="9" s="1"/>
  <c r="H103" i="9" l="1"/>
  <c r="I103" i="9" s="1"/>
  <c r="K104" i="9" s="1"/>
  <c r="H104" i="9" s="1"/>
  <c r="G104" i="9" l="1"/>
  <c r="I104" i="9" s="1"/>
  <c r="K105" i="9" s="1"/>
  <c r="H105" i="9" l="1"/>
  <c r="G105" i="9"/>
  <c r="I105" i="9" l="1"/>
  <c r="K106" i="9" s="1"/>
  <c r="G106" i="9" s="1"/>
  <c r="H106" i="9" l="1"/>
  <c r="I106" i="9" s="1"/>
  <c r="K107" i="9" s="1"/>
  <c r="H107" i="9" l="1"/>
  <c r="G107" i="9"/>
  <c r="I107" i="9" s="1"/>
  <c r="K108" i="9" s="1"/>
  <c r="H108" i="9" l="1"/>
  <c r="G108" i="9"/>
  <c r="I108" i="9" l="1"/>
  <c r="K109" i="9" s="1"/>
  <c r="G109" i="9"/>
  <c r="H109" i="9"/>
  <c r="I109" i="9" l="1"/>
  <c r="K110" i="9" s="1"/>
  <c r="H110" i="9" s="1"/>
  <c r="G110" i="9" l="1"/>
  <c r="I110" i="9"/>
  <c r="K111" i="9" s="1"/>
  <c r="H111" i="9" s="1"/>
  <c r="G111" i="9" l="1"/>
  <c r="I111" i="9" s="1"/>
  <c r="K112" i="9" s="1"/>
  <c r="H112" i="9" l="1"/>
  <c r="G112" i="9"/>
  <c r="I112" i="9" l="1"/>
  <c r="K113" i="9" s="1"/>
  <c r="H113" i="9"/>
  <c r="G113" i="9"/>
  <c r="I113" i="9" s="1"/>
  <c r="K114" i="9" s="1"/>
  <c r="H114" i="9" l="1"/>
  <c r="G114" i="9"/>
  <c r="I114" i="9" s="1"/>
  <c r="K115" i="9" s="1"/>
  <c r="H115" i="9" l="1"/>
  <c r="G115" i="9"/>
  <c r="I115" i="9" s="1"/>
  <c r="K116" i="9" s="1"/>
  <c r="H116" i="9" l="1"/>
  <c r="G116" i="9"/>
  <c r="I116" i="9" l="1"/>
  <c r="K117" i="9" s="1"/>
  <c r="H117" i="9" l="1"/>
  <c r="G117" i="9"/>
  <c r="I117" i="9" l="1"/>
  <c r="K118" i="9" s="1"/>
  <c r="H118" i="9" s="1"/>
  <c r="G118" i="9" l="1"/>
  <c r="I118" i="9" s="1"/>
  <c r="K119" i="9" s="1"/>
  <c r="H119" i="9" l="1"/>
  <c r="G119" i="9"/>
  <c r="I119" i="9"/>
  <c r="K120" i="9" s="1"/>
  <c r="H120" i="9" l="1"/>
  <c r="G120" i="9"/>
  <c r="I120" i="9" l="1"/>
  <c r="K121" i="9" s="1"/>
  <c r="H121" i="9" l="1"/>
  <c r="G121" i="9"/>
  <c r="I121" i="9" l="1"/>
  <c r="K122" i="9" s="1"/>
  <c r="H122" i="9" s="1"/>
  <c r="G122" i="9" l="1"/>
  <c r="I122" i="9" s="1"/>
  <c r="K123" i="9" s="1"/>
  <c r="H123" i="9" s="1"/>
  <c r="G123" i="9" l="1"/>
  <c r="I123" i="9" s="1"/>
  <c r="K124" i="9" s="1"/>
  <c r="H124" i="9" s="1"/>
  <c r="G124" i="9" l="1"/>
  <c r="I124" i="9" s="1"/>
  <c r="K125" i="9" s="1"/>
  <c r="G125" i="9" l="1"/>
  <c r="H125" i="9"/>
  <c r="I125" i="9" l="1"/>
  <c r="K126" i="9" s="1"/>
  <c r="G126" i="9" s="1"/>
  <c r="H126" i="9" l="1"/>
  <c r="I126" i="9" s="1"/>
  <c r="K127" i="9" s="1"/>
  <c r="G127" i="9" l="1"/>
  <c r="H127" i="9"/>
  <c r="I127" i="9" s="1"/>
  <c r="K128" i="9" s="1"/>
  <c r="H128" i="9" l="1"/>
  <c r="G128" i="9"/>
  <c r="I128" i="9" s="1"/>
  <c r="K129" i="9" s="1"/>
  <c r="H129" i="9" l="1"/>
  <c r="G129" i="9"/>
  <c r="I129" i="9" l="1"/>
  <c r="K130" i="9" s="1"/>
  <c r="H130" i="9"/>
  <c r="G130" i="9"/>
  <c r="I130" i="9" s="1"/>
  <c r="K131" i="9" s="1"/>
  <c r="H131" i="9" l="1"/>
  <c r="G131" i="9"/>
  <c r="I131" i="9" l="1"/>
  <c r="K132" i="9" s="1"/>
  <c r="H132" i="9"/>
  <c r="G132" i="9"/>
  <c r="I132" i="9" s="1"/>
  <c r="K133" i="9" s="1"/>
  <c r="H133" i="9" l="1"/>
  <c r="G133" i="9"/>
  <c r="I133" i="9" s="1"/>
  <c r="K134" i="9" s="1"/>
  <c r="G134" i="9" l="1"/>
  <c r="H134" i="9"/>
  <c r="I134" i="9" l="1"/>
  <c r="K135" i="9" s="1"/>
  <c r="H135" i="9" s="1"/>
  <c r="G135" i="9" l="1"/>
  <c r="I135" i="9" s="1"/>
  <c r="K136" i="9" s="1"/>
  <c r="G136" i="9" l="1"/>
  <c r="H136" i="9"/>
  <c r="I136" i="9" l="1"/>
  <c r="K137" i="9" s="1"/>
  <c r="G137" i="9" s="1"/>
  <c r="H137" i="9" l="1"/>
  <c r="I137" i="9"/>
  <c r="K138" i="9" s="1"/>
  <c r="G138" i="9" l="1"/>
  <c r="H138" i="9"/>
  <c r="I138" i="9" l="1"/>
  <c r="K139" i="9" s="1"/>
  <c r="G139" i="9" l="1"/>
  <c r="H139" i="9"/>
  <c r="I139" i="9" l="1"/>
  <c r="K140" i="9" s="1"/>
  <c r="G140" i="9" l="1"/>
  <c r="H140" i="9"/>
  <c r="I140" i="9" l="1"/>
  <c r="K141" i="9" s="1"/>
  <c r="G141" i="9" l="1"/>
  <c r="H141" i="9"/>
  <c r="I141" i="9" l="1"/>
  <c r="K142" i="9" s="1"/>
  <c r="G142" i="9" s="1"/>
  <c r="H142" i="9" l="1"/>
  <c r="I142" i="9" s="1"/>
  <c r="K143" i="9" s="1"/>
  <c r="G143" i="9" l="1"/>
  <c r="H143" i="9"/>
  <c r="I143" i="9" l="1"/>
  <c r="K144" i="9" s="1"/>
  <c r="H144" i="9" l="1"/>
  <c r="G144" i="9"/>
  <c r="I144" i="9" l="1"/>
  <c r="K145" i="9" s="1"/>
  <c r="H145" i="9" s="1"/>
  <c r="G145" i="9" l="1"/>
  <c r="I145" i="9" s="1"/>
  <c r="K146" i="9" s="1"/>
  <c r="H146" i="9" s="1"/>
  <c r="G146" i="9" l="1"/>
  <c r="I146" i="9" s="1"/>
  <c r="K147" i="9" s="1"/>
  <c r="G147" i="9" s="1"/>
  <c r="H147" i="9" l="1"/>
  <c r="I147" i="9" s="1"/>
  <c r="K148" i="9" s="1"/>
  <c r="H148" i="9" s="1"/>
  <c r="G148" i="9" l="1"/>
  <c r="I148" i="9" s="1"/>
  <c r="K149" i="9" s="1"/>
  <c r="G149" i="9" l="1"/>
  <c r="H149" i="9"/>
  <c r="I149" i="9" l="1"/>
  <c r="K150" i="9" s="1"/>
  <c r="G150" i="9" s="1"/>
  <c r="H150" i="9" l="1"/>
  <c r="I150" i="9" s="1"/>
  <c r="K151" i="9" s="1"/>
  <c r="H151" i="9" s="1"/>
  <c r="G151" i="9"/>
  <c r="I151" i="9" l="1"/>
  <c r="K152" i="9" s="1"/>
  <c r="H152" i="9" s="1"/>
  <c r="G152" i="9" l="1"/>
  <c r="I152" i="9"/>
  <c r="K153" i="9" s="1"/>
  <c r="G153" i="9" s="1"/>
  <c r="H153" i="9" l="1"/>
  <c r="I153" i="9"/>
  <c r="K154" i="9" s="1"/>
  <c r="H154" i="9"/>
  <c r="G154" i="9"/>
  <c r="I154" i="9" l="1"/>
  <c r="K155" i="9" s="1"/>
  <c r="H155" i="9" s="1"/>
  <c r="G155" i="9" l="1"/>
  <c r="I155" i="9" s="1"/>
  <c r="K156" i="9" s="1"/>
  <c r="H156" i="9" s="1"/>
  <c r="G156" i="9" l="1"/>
  <c r="I156" i="9" s="1"/>
  <c r="K157" i="9" s="1"/>
  <c r="G157" i="9" s="1"/>
  <c r="H157" i="9" l="1"/>
  <c r="I157" i="9" s="1"/>
  <c r="K158" i="9" s="1"/>
  <c r="H158" i="9" s="1"/>
  <c r="G158" i="9" l="1"/>
  <c r="I158" i="9" s="1"/>
  <c r="K159" i="9" s="1"/>
  <c r="G159" i="9" s="1"/>
  <c r="H159" i="9" l="1"/>
  <c r="I159" i="9" s="1"/>
  <c r="K160" i="9" s="1"/>
  <c r="H160" i="9" l="1"/>
  <c r="G160" i="9"/>
  <c r="I160" i="9" s="1"/>
  <c r="K161" i="9" s="1"/>
  <c r="H161" i="9" l="1"/>
  <c r="G161" i="9"/>
  <c r="I161" i="9" l="1"/>
  <c r="K162" i="9" s="1"/>
  <c r="G162" i="9" s="1"/>
  <c r="H162" i="9" l="1"/>
  <c r="I162" i="9" s="1"/>
  <c r="K163" i="9" s="1"/>
  <c r="H163" i="9" l="1"/>
  <c r="G163" i="9"/>
  <c r="I163" i="9" l="1"/>
  <c r="K164" i="9" s="1"/>
  <c r="H164" i="9" s="1"/>
  <c r="G164" i="9" l="1"/>
  <c r="I164" i="9" s="1"/>
  <c r="K165" i="9" s="1"/>
  <c r="H165" i="9" s="1"/>
  <c r="G165" i="9" l="1"/>
  <c r="I165" i="9" s="1"/>
  <c r="K166" i="9" s="1"/>
  <c r="H166" i="9" s="1"/>
  <c r="G166" i="9" l="1"/>
  <c r="I166" i="9" s="1"/>
  <c r="K167" i="9" s="1"/>
  <c r="G167" i="9" s="1"/>
  <c r="H167" i="9" l="1"/>
  <c r="I167" i="9"/>
  <c r="K168" i="9" s="1"/>
  <c r="G168" i="9" s="1"/>
  <c r="H168" i="9" l="1"/>
  <c r="I168" i="9"/>
  <c r="K169" i="9" s="1"/>
  <c r="H169" i="9" s="1"/>
  <c r="G169" i="9" l="1"/>
  <c r="I169" i="9" s="1"/>
  <c r="K170" i="9" s="1"/>
  <c r="H170" i="9" s="1"/>
  <c r="G170" i="9" l="1"/>
  <c r="I170" i="9" s="1"/>
  <c r="K171" i="9" s="1"/>
  <c r="G171" i="9" s="1"/>
  <c r="H171" i="9" l="1"/>
  <c r="I171" i="9"/>
  <c r="K172" i="9" s="1"/>
  <c r="H172" i="9" l="1"/>
  <c r="G172" i="9"/>
  <c r="I172" i="9" l="1"/>
  <c r="K173" i="9" s="1"/>
  <c r="H173" i="9" s="1"/>
  <c r="G173" i="9" l="1"/>
  <c r="I173" i="9" s="1"/>
  <c r="K174" i="9" s="1"/>
  <c r="G174" i="9" s="1"/>
  <c r="H174" i="9" l="1"/>
  <c r="I174" i="9" s="1"/>
  <c r="K175" i="9" s="1"/>
  <c r="G175" i="9" s="1"/>
  <c r="H175" i="9" l="1"/>
  <c r="I175" i="9"/>
  <c r="K176" i="9" s="1"/>
  <c r="G176" i="9" l="1"/>
  <c r="H176" i="9"/>
  <c r="I176" i="9" l="1"/>
  <c r="K177" i="9" s="1"/>
  <c r="H177" i="9" l="1"/>
  <c r="G177" i="9"/>
  <c r="I177" i="9" l="1"/>
  <c r="K178" i="9" s="1"/>
  <c r="G178" i="9" s="1"/>
  <c r="H178" i="9" l="1"/>
  <c r="I178" i="9" s="1"/>
  <c r="K179" i="9" s="1"/>
  <c r="G179" i="9" s="1"/>
  <c r="H179" i="9" l="1"/>
  <c r="I179" i="9"/>
  <c r="K180" i="9" s="1"/>
  <c r="G180" i="9" s="1"/>
  <c r="H180" i="9" l="1"/>
  <c r="I180" i="9" s="1"/>
  <c r="K181" i="9" s="1"/>
  <c r="H181" i="9" l="1"/>
  <c r="G181" i="9"/>
  <c r="I181" i="9" l="1"/>
  <c r="K182" i="9" s="1"/>
  <c r="G182" i="9" s="1"/>
  <c r="H182" i="9" l="1"/>
  <c r="I182" i="9" s="1"/>
  <c r="K183" i="9" s="1"/>
  <c r="H183" i="9" l="1"/>
  <c r="G183" i="9"/>
  <c r="I183" i="9" l="1"/>
  <c r="K184" i="9" s="1"/>
  <c r="H184" i="9" s="1"/>
  <c r="G184" i="9" l="1"/>
  <c r="I184" i="9" s="1"/>
  <c r="K185" i="9" s="1"/>
  <c r="H185" i="9" s="1"/>
  <c r="G185" i="9" l="1"/>
  <c r="I185" i="9" s="1"/>
  <c r="K186" i="9" s="1"/>
  <c r="H186" i="9" s="1"/>
  <c r="G186" i="9" l="1"/>
  <c r="I186" i="9" s="1"/>
  <c r="K187" i="9" s="1"/>
  <c r="H187" i="9" s="1"/>
  <c r="G187" i="9" l="1"/>
  <c r="I187" i="9" s="1"/>
  <c r="K188" i="9" s="1"/>
  <c r="G188" i="9" s="1"/>
  <c r="H188" i="9" l="1"/>
  <c r="I188" i="9" s="1"/>
  <c r="K189" i="9" s="1"/>
  <c r="G189" i="9" l="1"/>
  <c r="H189" i="9"/>
  <c r="I189" i="9" l="1"/>
  <c r="K190" i="9" s="1"/>
  <c r="G190" i="9" l="1"/>
  <c r="H190" i="9"/>
  <c r="I190" i="9" l="1"/>
  <c r="K191" i="9" s="1"/>
  <c r="H191" i="9" l="1"/>
  <c r="G191" i="9"/>
  <c r="I191" i="9" l="1"/>
  <c r="K192" i="9" s="1"/>
  <c r="G192" i="9" s="1"/>
  <c r="H192" i="9" l="1"/>
  <c r="I192" i="9" s="1"/>
  <c r="K193" i="9" s="1"/>
  <c r="H193" i="9" s="1"/>
  <c r="G193" i="9" l="1"/>
  <c r="I193" i="9" s="1"/>
  <c r="K194" i="9" s="1"/>
  <c r="G194" i="9" s="1"/>
  <c r="H194" i="9" l="1"/>
  <c r="I194" i="9" s="1"/>
  <c r="K195" i="9" s="1"/>
  <c r="H195" i="9" s="1"/>
  <c r="G195" i="9" l="1"/>
  <c r="I195" i="9" s="1"/>
  <c r="K196" i="9" s="1"/>
  <c r="H196" i="9" l="1"/>
  <c r="G196" i="9"/>
  <c r="I196" i="9" l="1"/>
  <c r="K197" i="9" s="1"/>
  <c r="H197" i="9" s="1"/>
  <c r="G197" i="9" l="1"/>
  <c r="I197" i="9" s="1"/>
  <c r="K198" i="9" s="1"/>
  <c r="H198" i="9" s="1"/>
  <c r="G198" i="9" l="1"/>
  <c r="I198" i="9" s="1"/>
  <c r="K199" i="9" s="1"/>
  <c r="H199" i="9" s="1"/>
  <c r="G199" i="9" l="1"/>
  <c r="I199" i="9" s="1"/>
  <c r="K200" i="9" s="1"/>
  <c r="G200" i="9" s="1"/>
  <c r="H200" i="9" l="1"/>
  <c r="I200" i="9" s="1"/>
  <c r="K201" i="9" s="1"/>
  <c r="H201" i="9" s="1"/>
  <c r="G201" i="9" l="1"/>
  <c r="I201" i="9" s="1"/>
  <c r="K202" i="9" s="1"/>
  <c r="H202" i="9" s="1"/>
  <c r="G202" i="9"/>
  <c r="I202" i="9" s="1"/>
  <c r="K203" i="9" s="1"/>
  <c r="G203" i="9" s="1"/>
  <c r="H203" i="9" l="1"/>
  <c r="I203" i="9" s="1"/>
  <c r="K204" i="9" s="1"/>
  <c r="G204" i="9" s="1"/>
  <c r="H204" i="9" l="1"/>
  <c r="I204" i="9" s="1"/>
  <c r="K205" i="9" s="1"/>
  <c r="H205" i="9" s="1"/>
  <c r="G205" i="9" l="1"/>
  <c r="I205" i="9" s="1"/>
  <c r="K206" i="9" s="1"/>
  <c r="H206" i="9" s="1"/>
  <c r="G206" i="9" l="1"/>
  <c r="I206" i="9" s="1"/>
  <c r="K207" i="9" s="1"/>
  <c r="H207" i="9" s="1"/>
  <c r="G207" i="9" l="1"/>
  <c r="I207" i="9" s="1"/>
  <c r="K208" i="9" s="1"/>
  <c r="G208" i="9" s="1"/>
  <c r="H208" i="9" l="1"/>
  <c r="I208" i="9" s="1"/>
  <c r="K209" i="9" s="1"/>
  <c r="G209" i="9" l="1"/>
  <c r="H209" i="9"/>
  <c r="I209" i="9" l="1"/>
  <c r="K210" i="9" s="1"/>
  <c r="H210" i="9" s="1"/>
  <c r="G210" i="9" l="1"/>
  <c r="I210" i="9" s="1"/>
  <c r="K211" i="9" s="1"/>
  <c r="G211" i="9" s="1"/>
  <c r="H211" i="9" l="1"/>
  <c r="I211" i="9" s="1"/>
  <c r="K212" i="9" s="1"/>
  <c r="H212" i="9" s="1"/>
  <c r="G212" i="9" l="1"/>
  <c r="I212" i="9" s="1"/>
  <c r="K213" i="9" s="1"/>
  <c r="G213" i="9" s="1"/>
  <c r="H213" i="9" l="1"/>
  <c r="I213" i="9" s="1"/>
  <c r="K214" i="9" s="1"/>
  <c r="G214" i="9"/>
  <c r="H214" i="9"/>
  <c r="I214" i="9" l="1"/>
  <c r="K215" i="9" s="1"/>
  <c r="H215" i="9" l="1"/>
  <c r="G215" i="9"/>
  <c r="I215" i="9" l="1"/>
  <c r="K216" i="9" s="1"/>
  <c r="H216" i="9" s="1"/>
  <c r="G216" i="9" l="1"/>
  <c r="I216" i="9" s="1"/>
  <c r="K217" i="9" s="1"/>
  <c r="G217" i="9" l="1"/>
  <c r="H217" i="9"/>
  <c r="I217" i="9" l="1"/>
  <c r="K218" i="9" s="1"/>
  <c r="G218" i="9" s="1"/>
  <c r="H218" i="9" l="1"/>
  <c r="I218" i="9" s="1"/>
  <c r="K219" i="9" s="1"/>
  <c r="H219" i="9" s="1"/>
  <c r="G219" i="9" l="1"/>
  <c r="I219" i="9" s="1"/>
  <c r="K220" i="9" s="1"/>
  <c r="G220" i="9" s="1"/>
  <c r="H220" i="9" l="1"/>
  <c r="I220" i="9"/>
  <c r="K221" i="9" s="1"/>
  <c r="H221" i="9" s="1"/>
  <c r="G221" i="9"/>
  <c r="I221" i="9" l="1"/>
  <c r="K222" i="9" s="1"/>
  <c r="H222" i="9" s="1"/>
  <c r="G222" i="9"/>
  <c r="I222" i="9" l="1"/>
  <c r="K223" i="9" s="1"/>
  <c r="H223" i="9" l="1"/>
  <c r="G223" i="9"/>
  <c r="I223" i="9" s="1"/>
  <c r="K224" i="9" s="1"/>
  <c r="H224" i="9" l="1"/>
  <c r="G224" i="9"/>
  <c r="I224" i="9" s="1"/>
  <c r="K225" i="9" s="1"/>
  <c r="H225" i="9" s="1"/>
  <c r="G225" i="9" l="1"/>
  <c r="I225" i="9" s="1"/>
  <c r="K226" i="9" s="1"/>
  <c r="H226" i="9" s="1"/>
  <c r="G226" i="9" l="1"/>
  <c r="I226" i="9" s="1"/>
  <c r="K227" i="9" s="1"/>
  <c r="G227" i="9" s="1"/>
  <c r="H227" i="9" l="1"/>
  <c r="I227" i="9" s="1"/>
  <c r="K228" i="9" s="1"/>
  <c r="G228" i="9" l="1"/>
  <c r="H228" i="9"/>
  <c r="I228" i="9" l="1"/>
  <c r="K229" i="9" s="1"/>
  <c r="G229" i="9" s="1"/>
  <c r="H229" i="9" l="1"/>
  <c r="I229" i="9" s="1"/>
  <c r="K230" i="9" s="1"/>
  <c r="H230" i="9" l="1"/>
  <c r="G230" i="9"/>
  <c r="I230" i="9" l="1"/>
  <c r="K231" i="9" s="1"/>
  <c r="H231" i="9" s="1"/>
  <c r="G231" i="9" l="1"/>
  <c r="I231" i="9" s="1"/>
  <c r="K232" i="9" s="1"/>
  <c r="H232" i="9" s="1"/>
  <c r="G232" i="9" l="1"/>
  <c r="I232" i="9" s="1"/>
  <c r="K233" i="9" s="1"/>
  <c r="G233" i="9" s="1"/>
  <c r="H233" i="9" l="1"/>
  <c r="I233" i="9" s="1"/>
  <c r="K234" i="9" s="1"/>
  <c r="H234" i="9" l="1"/>
  <c r="G234" i="9"/>
  <c r="I234" i="9" s="1"/>
  <c r="K235" i="9" s="1"/>
  <c r="G235" i="9" l="1"/>
  <c r="H235" i="9"/>
  <c r="I235" i="9" l="1"/>
  <c r="K236" i="9" s="1"/>
  <c r="G236" i="9" l="1"/>
  <c r="H236" i="9"/>
  <c r="I236" i="9" l="1"/>
  <c r="K237" i="9" s="1"/>
  <c r="G237" i="9" l="1"/>
  <c r="H237" i="9"/>
  <c r="I237" i="9" l="1"/>
  <c r="K238" i="9" s="1"/>
  <c r="H238" i="9" s="1"/>
  <c r="G238" i="9" l="1"/>
  <c r="I238" i="9" s="1"/>
  <c r="K239" i="9" s="1"/>
  <c r="H239" i="9" s="1"/>
  <c r="G239" i="9" l="1"/>
  <c r="I239" i="9" s="1"/>
  <c r="K240" i="9" s="1"/>
  <c r="H240" i="9" l="1"/>
  <c r="G240" i="9"/>
  <c r="I240" i="9" l="1"/>
  <c r="K241" i="9" s="1"/>
  <c r="H241" i="9" s="1"/>
  <c r="G241" i="9" l="1"/>
  <c r="I241" i="9" s="1"/>
  <c r="K242" i="9" s="1"/>
  <c r="H242" i="9" s="1"/>
  <c r="G242" i="9" l="1"/>
  <c r="I242" i="9" s="1"/>
  <c r="K243" i="9" s="1"/>
  <c r="G243" i="9" l="1"/>
  <c r="H243" i="9"/>
  <c r="I243" i="9" l="1"/>
  <c r="K244" i="9" s="1"/>
  <c r="G244" i="9" s="1"/>
  <c r="H244" i="9" l="1"/>
  <c r="I244" i="9" s="1"/>
  <c r="K245" i="9" s="1"/>
  <c r="H245" i="9" l="1"/>
  <c r="G245" i="9"/>
  <c r="I245" i="9" l="1"/>
  <c r="K246" i="9" s="1"/>
  <c r="H246" i="9" s="1"/>
  <c r="G246" i="9" l="1"/>
  <c r="I246" i="9" s="1"/>
  <c r="K247" i="9" s="1"/>
  <c r="H247" i="9" s="1"/>
  <c r="G247" i="9" l="1"/>
  <c r="I247" i="9" s="1"/>
  <c r="K248" i="9" s="1"/>
  <c r="G248" i="9" s="1"/>
  <c r="H248" i="9" l="1"/>
  <c r="I248" i="9" s="1"/>
  <c r="K249" i="9" s="1"/>
  <c r="G249" i="9" s="1"/>
  <c r="H249" i="9" l="1"/>
  <c r="I249" i="9" s="1"/>
  <c r="K250" i="9" s="1"/>
  <c r="H250" i="9" l="1"/>
  <c r="G250" i="9"/>
  <c r="I250" i="9" l="1"/>
  <c r="K251" i="9" s="1"/>
  <c r="G251" i="9" l="1"/>
  <c r="H251" i="9"/>
  <c r="I251" i="9" l="1"/>
  <c r="K252" i="9" s="1"/>
  <c r="H252" i="9" s="1"/>
  <c r="G252" i="9" l="1"/>
  <c r="I252" i="9" s="1"/>
  <c r="K253" i="9" s="1"/>
  <c r="G253" i="9" s="1"/>
  <c r="H253" i="9" l="1"/>
  <c r="I253" i="9"/>
  <c r="K254" i="9" s="1"/>
  <c r="G254" i="9"/>
  <c r="H254" i="9"/>
  <c r="I254" i="9" l="1"/>
  <c r="K255" i="9" s="1"/>
  <c r="G255" i="9" l="1"/>
  <c r="H255" i="9"/>
  <c r="I255" i="9" l="1"/>
  <c r="K256" i="9" s="1"/>
  <c r="H256" i="9" l="1"/>
  <c r="G256" i="9"/>
  <c r="I256" i="9" l="1"/>
  <c r="K257" i="9" s="1"/>
  <c r="G257" i="9"/>
  <c r="H257" i="9"/>
  <c r="I257" i="9" l="1"/>
  <c r="K258" i="9" s="1"/>
  <c r="G258" i="9" l="1"/>
  <c r="H258" i="9"/>
  <c r="I258" i="9" l="1"/>
  <c r="K259" i="9" s="1"/>
  <c r="G259" i="9" l="1"/>
  <c r="H259" i="9"/>
  <c r="I259" i="9" l="1"/>
  <c r="K260" i="9" s="1"/>
  <c r="H260" i="9" l="1"/>
  <c r="G260" i="9"/>
  <c r="I260" i="9" l="1"/>
  <c r="K261" i="9" s="1"/>
  <c r="H261" i="9" s="1"/>
  <c r="G261" i="9" l="1"/>
  <c r="I261" i="9" s="1"/>
  <c r="K262" i="9" s="1"/>
  <c r="H262" i="9" s="1"/>
  <c r="G262" i="9" l="1"/>
  <c r="I262" i="9" s="1"/>
  <c r="K263" i="9" s="1"/>
  <c r="H263" i="9" s="1"/>
  <c r="G263" i="9" l="1"/>
  <c r="I263" i="9" s="1"/>
  <c r="K264" i="9" s="1"/>
  <c r="G264" i="9" l="1"/>
  <c r="H264" i="9"/>
  <c r="I264" i="9" l="1"/>
  <c r="K265" i="9" s="1"/>
  <c r="H265" i="9" l="1"/>
  <c r="G265" i="9"/>
  <c r="I265" i="9" s="1"/>
  <c r="K266" i="9" s="1"/>
  <c r="H266" i="9" l="1"/>
  <c r="G266" i="9"/>
  <c r="I266" i="9" l="1"/>
  <c r="K267" i="9" s="1"/>
  <c r="H267" i="9" s="1"/>
  <c r="G267" i="9" l="1"/>
  <c r="I267" i="9" s="1"/>
  <c r="K268" i="9" s="1"/>
  <c r="H268" i="9" s="1"/>
  <c r="G268" i="9" l="1"/>
  <c r="I268" i="9" s="1"/>
  <c r="K269" i="9" s="1"/>
  <c r="G269" i="9" s="1"/>
  <c r="H269" i="9"/>
  <c r="I269" i="9" l="1"/>
  <c r="K270" i="9" s="1"/>
  <c r="H270" i="9"/>
  <c r="G270" i="9"/>
  <c r="I270" i="9" s="1"/>
  <c r="K271" i="9" s="1"/>
  <c r="G271" i="9" l="1"/>
  <c r="H271" i="9"/>
  <c r="I271" i="9" l="1"/>
  <c r="K272" i="9" s="1"/>
  <c r="G272" i="9" l="1"/>
  <c r="H272" i="9"/>
  <c r="I272" i="9" l="1"/>
  <c r="K273" i="9" s="1"/>
  <c r="H273" i="9" s="1"/>
  <c r="G273" i="9"/>
  <c r="I273" i="9" l="1"/>
  <c r="K274" i="9" s="1"/>
  <c r="H274" i="9" s="1"/>
  <c r="G274" i="9" l="1"/>
  <c r="I274" i="9" s="1"/>
  <c r="K275" i="9" s="1"/>
  <c r="H275" i="9" s="1"/>
  <c r="G275" i="9" l="1"/>
  <c r="I275" i="9" s="1"/>
  <c r="K276" i="9" s="1"/>
  <c r="H276" i="9" l="1"/>
  <c r="G276" i="9"/>
  <c r="I276" i="9" s="1"/>
  <c r="K277" i="9" s="1"/>
  <c r="H277" i="9" l="1"/>
  <c r="G277" i="9"/>
  <c r="I277" i="9" s="1"/>
  <c r="K278" i="9" s="1"/>
  <c r="H278" i="9" l="1"/>
  <c r="G278" i="9"/>
  <c r="I278" i="9" s="1"/>
  <c r="K279" i="9" s="1"/>
  <c r="G279" i="9" l="1"/>
  <c r="H279" i="9"/>
  <c r="I279" i="9" l="1"/>
  <c r="K280" i="9" s="1"/>
  <c r="G280" i="9" l="1"/>
  <c r="H280" i="9"/>
  <c r="I280" i="9" l="1"/>
  <c r="K281" i="9" s="1"/>
  <c r="H281" i="9" l="1"/>
  <c r="G281" i="9"/>
  <c r="I281" i="9" s="1"/>
  <c r="K282" i="9" s="1"/>
  <c r="H282" i="9" l="1"/>
  <c r="G282" i="9"/>
  <c r="I282" i="9" s="1"/>
  <c r="K283" i="9" s="1"/>
  <c r="G283" i="9" l="1"/>
  <c r="H283" i="9"/>
  <c r="I283" i="9" l="1"/>
  <c r="K284" i="9" s="1"/>
  <c r="G284" i="9" l="1"/>
  <c r="H284" i="9"/>
  <c r="I284" i="9" l="1"/>
  <c r="K285" i="9" s="1"/>
  <c r="H285" i="9" l="1"/>
  <c r="G285" i="9"/>
  <c r="I285" i="9" l="1"/>
  <c r="K286" i="9" s="1"/>
  <c r="H286" i="9" l="1"/>
  <c r="G286" i="9"/>
  <c r="I286" i="9" s="1"/>
  <c r="K287" i="9" s="1"/>
  <c r="G287" i="9" l="1"/>
  <c r="H287" i="9"/>
  <c r="I287" i="9" l="1"/>
  <c r="K288" i="9" s="1"/>
  <c r="G288" i="9" l="1"/>
  <c r="H288" i="9"/>
  <c r="I288" i="9" l="1"/>
  <c r="K289" i="9" s="1"/>
  <c r="H289" i="9" l="1"/>
  <c r="G289" i="9"/>
  <c r="I289" i="9" s="1"/>
  <c r="K290" i="9" s="1"/>
  <c r="H290" i="9" l="1"/>
  <c r="G290" i="9"/>
  <c r="I290" i="9" l="1"/>
  <c r="K291" i="9" s="1"/>
  <c r="G291" i="9" s="1"/>
  <c r="H291" i="9"/>
  <c r="I291" i="9" l="1"/>
  <c r="K292" i="9" s="1"/>
  <c r="G292" i="9" l="1"/>
  <c r="H292" i="9"/>
  <c r="I292" i="9" l="1"/>
  <c r="K293" i="9" s="1"/>
  <c r="H293" i="9" s="1"/>
  <c r="G293" i="9" l="1"/>
  <c r="I293" i="9" s="1"/>
  <c r="K294" i="9" s="1"/>
  <c r="H294" i="9" s="1"/>
  <c r="G294" i="9" l="1"/>
  <c r="I294" i="9" s="1"/>
  <c r="K295" i="9" s="1"/>
  <c r="G295" i="9" l="1"/>
  <c r="I295" i="9" s="1"/>
  <c r="K296" i="9" s="1"/>
  <c r="H295" i="9"/>
  <c r="G296" i="9" l="1"/>
  <c r="H296" i="9"/>
  <c r="I296" i="9" l="1"/>
  <c r="K297" i="9" s="1"/>
  <c r="H297" i="9" l="1"/>
  <c r="G297" i="9"/>
  <c r="I297" i="9" l="1"/>
  <c r="K298" i="9" s="1"/>
  <c r="H298" i="9" s="1"/>
  <c r="G298" i="9" l="1"/>
  <c r="I298" i="9" s="1"/>
  <c r="K299" i="9" s="1"/>
  <c r="G299" i="9" s="1"/>
  <c r="H299" i="9" l="1"/>
  <c r="I299" i="9" s="1"/>
  <c r="K300" i="9" s="1"/>
  <c r="G300" i="9" l="1"/>
  <c r="H300" i="9"/>
  <c r="I300" i="9" l="1"/>
  <c r="K301" i="9" s="1"/>
  <c r="H301" i="9" l="1"/>
  <c r="G301" i="9"/>
  <c r="I301" i="9" l="1"/>
  <c r="K302" i="9" s="1"/>
  <c r="H302" i="9" s="1"/>
  <c r="G302" i="9" l="1"/>
  <c r="I302" i="9" s="1"/>
  <c r="K303" i="9" s="1"/>
  <c r="G303" i="9" s="1"/>
  <c r="H303" i="9" l="1"/>
  <c r="I303" i="9" s="1"/>
  <c r="K304" i="9" s="1"/>
  <c r="G304" i="9" l="1"/>
  <c r="H304" i="9"/>
  <c r="I304" i="9" l="1"/>
  <c r="K305" i="9" s="1"/>
  <c r="H305" i="9" s="1"/>
  <c r="G305" i="9" l="1"/>
  <c r="I305" i="9" s="1"/>
  <c r="K306" i="9" s="1"/>
  <c r="H306" i="9" l="1"/>
  <c r="G306" i="9"/>
  <c r="I306" i="9" s="1"/>
  <c r="K307" i="9" s="1"/>
  <c r="G307" i="9"/>
  <c r="H307" i="9"/>
  <c r="I307" i="9" l="1"/>
  <c r="K308" i="9" s="1"/>
  <c r="G308" i="9" l="1"/>
  <c r="H308" i="9"/>
  <c r="I308" i="9" l="1"/>
  <c r="K309" i="9" s="1"/>
  <c r="H309" i="9" l="1"/>
  <c r="G309" i="9"/>
  <c r="I309" i="9" l="1"/>
  <c r="K310" i="9" s="1"/>
  <c r="H310" i="9"/>
  <c r="G310" i="9"/>
  <c r="I310" i="9" l="1"/>
  <c r="K311" i="9" s="1"/>
  <c r="G311" i="9" s="1"/>
  <c r="H311" i="9" l="1"/>
  <c r="I311" i="9"/>
  <c r="K312" i="9" s="1"/>
  <c r="H312" i="9" l="1"/>
  <c r="G312" i="9"/>
  <c r="I312" i="9" l="1"/>
  <c r="K313" i="9" s="1"/>
  <c r="H313" i="9" s="1"/>
  <c r="G313" i="9" l="1"/>
  <c r="I313" i="9" s="1"/>
  <c r="K314" i="9" s="1"/>
  <c r="H314" i="9" s="1"/>
  <c r="G314" i="9" l="1"/>
  <c r="I314" i="9" s="1"/>
  <c r="K315" i="9" s="1"/>
  <c r="H315" i="9" l="1"/>
  <c r="G315" i="9"/>
  <c r="I315" i="9" l="1"/>
  <c r="K316" i="9" s="1"/>
  <c r="G316" i="9"/>
  <c r="H316" i="9"/>
  <c r="I316" i="9" l="1"/>
  <c r="K317" i="9" s="1"/>
  <c r="H317" i="9" l="1"/>
  <c r="G317" i="9"/>
  <c r="I317" i="9" l="1"/>
  <c r="K318" i="9" s="1"/>
  <c r="H318" i="9" s="1"/>
  <c r="G318" i="9" l="1"/>
  <c r="I318" i="9" s="1"/>
  <c r="K319" i="9" s="1"/>
  <c r="G319" i="9" s="1"/>
  <c r="H319" i="9"/>
  <c r="I319" i="9" l="1"/>
  <c r="K320" i="9" s="1"/>
  <c r="G320" i="9" l="1"/>
  <c r="H320" i="9"/>
  <c r="I320" i="9" l="1"/>
  <c r="K321" i="9" s="1"/>
  <c r="H321" i="9" s="1"/>
  <c r="G321" i="9" l="1"/>
  <c r="I321" i="9" s="1"/>
  <c r="K322" i="9" s="1"/>
  <c r="G322" i="9" s="1"/>
  <c r="H322" i="9" l="1"/>
  <c r="I322" i="9" s="1"/>
  <c r="K323" i="9" s="1"/>
  <c r="G323" i="9" l="1"/>
  <c r="H323" i="9"/>
  <c r="I323" i="9" l="1"/>
  <c r="K324" i="9" s="1"/>
  <c r="G324" i="9" l="1"/>
  <c r="H324" i="9"/>
  <c r="I324" i="9" l="1"/>
  <c r="K325" i="9" s="1"/>
  <c r="H325" i="9" l="1"/>
  <c r="G325" i="9"/>
  <c r="I325" i="9" l="1"/>
  <c r="K326" i="9" s="1"/>
  <c r="G326" i="9"/>
  <c r="H326" i="9"/>
  <c r="I326" i="9" l="1"/>
  <c r="K327" i="9" s="1"/>
  <c r="G327" i="9" l="1"/>
  <c r="H327" i="9"/>
  <c r="I327" i="9" l="1"/>
  <c r="K328" i="9" s="1"/>
  <c r="G328" i="9" l="1"/>
  <c r="H328" i="9"/>
  <c r="I328" i="9" l="1"/>
  <c r="K329" i="9" s="1"/>
  <c r="H329" i="9" l="1"/>
  <c r="G329" i="9"/>
  <c r="I329" i="9" l="1"/>
  <c r="K330" i="9" s="1"/>
  <c r="H330" i="9" s="1"/>
  <c r="G330" i="9"/>
  <c r="I330" i="9" l="1"/>
  <c r="K331" i="9" s="1"/>
  <c r="G331" i="9" s="1"/>
  <c r="H331" i="9" l="1"/>
  <c r="I331" i="9"/>
  <c r="K332" i="9" s="1"/>
  <c r="G332" i="9" l="1"/>
  <c r="H332" i="9"/>
  <c r="I332" i="9" l="1"/>
  <c r="K333" i="9" s="1"/>
  <c r="H333" i="9" l="1"/>
  <c r="G333" i="9"/>
  <c r="I333" i="9" l="1"/>
  <c r="K334" i="9" s="1"/>
  <c r="H334" i="9" s="1"/>
  <c r="G334" i="9" l="1"/>
  <c r="I334" i="9" s="1"/>
  <c r="K335" i="9" s="1"/>
  <c r="G335" i="9" s="1"/>
  <c r="H335" i="9" l="1"/>
  <c r="I335" i="9" s="1"/>
  <c r="K336" i="9" s="1"/>
  <c r="G336" i="9" l="1"/>
  <c r="H336" i="9"/>
  <c r="I336" i="9" l="1"/>
  <c r="K337" i="9" s="1"/>
  <c r="H337" i="9" s="1"/>
  <c r="G337" i="9" l="1"/>
  <c r="I337" i="9" s="1"/>
  <c r="K338" i="9" s="1"/>
  <c r="H338" i="9"/>
  <c r="G338" i="9"/>
  <c r="I338" i="9" l="1"/>
  <c r="K339" i="9" s="1"/>
  <c r="H339" i="9" s="1"/>
  <c r="G339" i="9" l="1"/>
  <c r="I339" i="9" s="1"/>
  <c r="K340" i="9" s="1"/>
  <c r="G340" i="9" l="1"/>
  <c r="H340" i="9"/>
  <c r="I340" i="9" s="1"/>
  <c r="K341" i="9" s="1"/>
  <c r="H341" i="9" l="1"/>
  <c r="G341" i="9"/>
  <c r="I341" i="9" s="1"/>
  <c r="K342" i="9" s="1"/>
  <c r="H342" i="9" l="1"/>
  <c r="G342" i="9"/>
  <c r="I342" i="9" l="1"/>
  <c r="K343" i="9" s="1"/>
  <c r="H343" i="9"/>
  <c r="G343" i="9"/>
  <c r="I343" i="9" s="1"/>
  <c r="K344" i="9" s="1"/>
  <c r="G344" i="9" l="1"/>
  <c r="H344" i="9"/>
  <c r="I344" i="9" l="1"/>
  <c r="K345" i="9" s="1"/>
  <c r="G345" i="9" l="1"/>
  <c r="H345" i="9"/>
  <c r="I345" i="9" l="1"/>
  <c r="K346" i="9" s="1"/>
  <c r="G346" i="9" l="1"/>
  <c r="H346" i="9"/>
  <c r="I346" i="9" l="1"/>
  <c r="K347" i="9" s="1"/>
  <c r="H347" i="9" l="1"/>
  <c r="G347" i="9"/>
  <c r="I347" i="9" l="1"/>
  <c r="K348" i="9" s="1"/>
  <c r="G348" i="9" s="1"/>
  <c r="H348" i="9"/>
  <c r="I348" i="9" l="1"/>
  <c r="K349" i="9" s="1"/>
  <c r="G349" i="9" l="1"/>
  <c r="H349" i="9"/>
  <c r="I349" i="9" l="1"/>
  <c r="K350" i="9" s="1"/>
  <c r="H350" i="9" l="1"/>
  <c r="G350" i="9"/>
  <c r="I350" i="9" l="1"/>
  <c r="K351" i="9" s="1"/>
  <c r="H351" i="9" s="1"/>
  <c r="G351" i="9"/>
  <c r="I351" i="9" l="1"/>
  <c r="K352" i="9" s="1"/>
  <c r="G352" i="9"/>
  <c r="H352" i="9"/>
  <c r="I352" i="9" l="1"/>
  <c r="K353" i="9" s="1"/>
  <c r="G353" i="9" l="1"/>
  <c r="H353" i="9"/>
  <c r="I353" i="9" l="1"/>
  <c r="K354" i="9" s="1"/>
  <c r="H354" i="9" l="1"/>
  <c r="G354" i="9"/>
  <c r="I354" i="9" l="1"/>
  <c r="K355" i="9" s="1"/>
  <c r="H355" i="9" s="1"/>
  <c r="G355" i="9" l="1"/>
  <c r="I355" i="9"/>
  <c r="K356" i="9" s="1"/>
  <c r="G356" i="9" s="1"/>
  <c r="H356" i="9" l="1"/>
  <c r="I356" i="9"/>
  <c r="K357" i="9" s="1"/>
  <c r="G357" i="9" l="1"/>
  <c r="H357" i="9"/>
  <c r="I357" i="9" l="1"/>
  <c r="K358" i="9" s="1"/>
  <c r="H358" i="9" l="1"/>
  <c r="G358" i="9"/>
  <c r="I358" i="9" s="1"/>
  <c r="K359" i="9" s="1"/>
  <c r="H359" i="9" l="1"/>
  <c r="G359" i="9"/>
  <c r="I359" i="9" s="1"/>
  <c r="K360" i="9" s="1"/>
  <c r="G360" i="9" l="1"/>
  <c r="H360" i="9"/>
  <c r="I360" i="9" l="1"/>
  <c r="K361" i="9" s="1"/>
  <c r="G361" i="9" l="1"/>
  <c r="H361" i="9"/>
  <c r="I361" i="9" l="1"/>
  <c r="K362" i="9" s="1"/>
  <c r="H362" i="9" l="1"/>
  <c r="G362" i="9"/>
  <c r="I362" i="9" s="1"/>
  <c r="K363" i="9" s="1"/>
  <c r="H363" i="9" l="1"/>
  <c r="G363" i="9"/>
  <c r="I363" i="9" l="1"/>
  <c r="K364" i="9" s="1"/>
  <c r="G364" i="9" s="1"/>
  <c r="H364" i="9" l="1"/>
  <c r="I364" i="9"/>
  <c r="K365" i="9" s="1"/>
  <c r="G365" i="9" l="1"/>
  <c r="H365" i="9"/>
  <c r="I365" i="9" l="1"/>
  <c r="K366" i="9" s="1"/>
  <c r="H366" i="9" l="1"/>
  <c r="G366" i="9"/>
  <c r="I366" i="9" l="1"/>
  <c r="K367" i="9" s="1"/>
  <c r="H367" i="9"/>
  <c r="G367" i="9"/>
  <c r="I367" i="9" s="1"/>
  <c r="K368" i="9" s="1"/>
  <c r="G368" i="9" l="1"/>
  <c r="H368" i="9"/>
  <c r="I368" i="9" l="1"/>
  <c r="D32" i="5" l="1"/>
  <c r="D33" i="5" s="1"/>
  <c r="D34" i="5" l="1"/>
  <c r="D36" i="5" l="1"/>
  <c r="C14" i="14" l="1"/>
  <c r="D43" i="5"/>
  <c r="C17" i="14" l="1"/>
  <c r="C33" i="14" s="1"/>
  <c r="C34" i="14" s="1"/>
  <c r="D42" i="14" s="1"/>
  <c r="D43" i="14" s="1"/>
  <c r="C45" i="14" l="1"/>
  <c r="D52" i="14" l="1"/>
  <c r="D45" i="5" s="1"/>
  <c r="D46" i="5" s="1"/>
  <c r="D51" i="5" s="1"/>
  <c r="E30" i="16" l="1"/>
  <c r="C18" i="3"/>
  <c r="E42" i="4"/>
  <c r="E37" i="4"/>
  <c r="F40" i="4" s="1"/>
  <c r="E25" i="16"/>
  <c r="F28" i="16" s="1"/>
  <c r="C3" i="3"/>
  <c r="C16" i="3" s="1"/>
  <c r="D53" i="14"/>
  <c r="D55" i="14" s="1"/>
  <c r="D56" i="14" s="1"/>
</calcChain>
</file>

<file path=xl/sharedStrings.xml><?xml version="1.0" encoding="utf-8"?>
<sst xmlns="http://schemas.openxmlformats.org/spreadsheetml/2006/main" count="349" uniqueCount="281">
  <si>
    <t>Useful Life</t>
  </si>
  <si>
    <t>Boiler</t>
  </si>
  <si>
    <t>Water Heater</t>
  </si>
  <si>
    <t>Inside fabric</t>
  </si>
  <si>
    <t>Utilities</t>
  </si>
  <si>
    <t>Alarm</t>
  </si>
  <si>
    <t>Mortgage</t>
  </si>
  <si>
    <t>Monthly</t>
  </si>
  <si>
    <t>Cost</t>
  </si>
  <si>
    <t>Life</t>
  </si>
  <si>
    <t>Outside walls etc</t>
  </si>
  <si>
    <t>Roof</t>
  </si>
  <si>
    <t>SSDI</t>
  </si>
  <si>
    <t>SNAP</t>
  </si>
  <si>
    <t>HEAP</t>
  </si>
  <si>
    <t>RENTING</t>
  </si>
  <si>
    <t>House cost</t>
  </si>
  <si>
    <t>Closing costs</t>
  </si>
  <si>
    <t>Need to borrow</t>
  </si>
  <si>
    <t>Expense</t>
  </si>
  <si>
    <t>Taxes</t>
  </si>
  <si>
    <t>Maintenance</t>
  </si>
  <si>
    <t>Food</t>
  </si>
  <si>
    <t>Clothing</t>
  </si>
  <si>
    <t>Leisure</t>
  </si>
  <si>
    <t>Transport</t>
  </si>
  <si>
    <t>Minor Repairs</t>
  </si>
  <si>
    <t>What else?</t>
  </si>
  <si>
    <t>Total Expenses</t>
  </si>
  <si>
    <t>A/C</t>
  </si>
  <si>
    <t>Driveway</t>
  </si>
  <si>
    <t>Snow &amp; Yard</t>
  </si>
  <si>
    <t>Remaining</t>
  </si>
  <si>
    <t xml:space="preserve">Monthly mortgage </t>
  </si>
  <si>
    <t>Capital</t>
  </si>
  <si>
    <t>Tax rate</t>
  </si>
  <si>
    <t>Monthly Housing Cost as % of Income</t>
  </si>
  <si>
    <t>Total Utilities</t>
  </si>
  <si>
    <t>Keep to that order.</t>
  </si>
  <si>
    <t>Net "Available for Housing" vs Housing cost</t>
  </si>
  <si>
    <t>3rd Party Trust</t>
  </si>
  <si>
    <t>1st Person Trust</t>
  </si>
  <si>
    <t>ABLE account</t>
  </si>
  <si>
    <t>Liabilities</t>
  </si>
  <si>
    <t>Consumer Debt</t>
  </si>
  <si>
    <t>Other</t>
  </si>
  <si>
    <t>Annual income from investment gains</t>
  </si>
  <si>
    <t>Annual income from capital withdrawal</t>
  </si>
  <si>
    <t>Monthly Debt</t>
  </si>
  <si>
    <t>Monthly income</t>
  </si>
  <si>
    <t>Total Income producing assets</t>
  </si>
  <si>
    <t>Debt Service</t>
  </si>
  <si>
    <t>The rule of 72!</t>
  </si>
  <si>
    <t>Federal Benefit Rate</t>
  </si>
  <si>
    <t>Savings</t>
  </si>
  <si>
    <t>Down Payment (IDA?)</t>
  </si>
  <si>
    <t>IL</t>
  </si>
  <si>
    <t>Annual</t>
  </si>
  <si>
    <t>All Income Sub total</t>
  </si>
  <si>
    <t>"Effective" Income including subsidy</t>
  </si>
  <si>
    <t>Websites</t>
  </si>
  <si>
    <t>EITC</t>
  </si>
  <si>
    <t>FMR</t>
  </si>
  <si>
    <t>SNAP (see calculator)</t>
  </si>
  <si>
    <t>General Exemption if receiving unearned income</t>
  </si>
  <si>
    <t>COUNTABLE savings Income</t>
  </si>
  <si>
    <t>Savings Account</t>
  </si>
  <si>
    <t xml:space="preserve">Monthly </t>
  </si>
  <si>
    <t>Include Non Countable Savings income</t>
  </si>
  <si>
    <t>CREDITORS CAN"T GARNISH SSI</t>
  </si>
  <si>
    <t>Income from COUNTABLE  Savings</t>
  </si>
  <si>
    <t>Hazard insurance</t>
  </si>
  <si>
    <t>Other?</t>
  </si>
  <si>
    <t>Individual Development Account*</t>
  </si>
  <si>
    <t>* IDA only if other assets&lt;$10,000</t>
  </si>
  <si>
    <t>SGA</t>
  </si>
  <si>
    <t>Debt to Family</t>
  </si>
  <si>
    <t>Loan Amount</t>
  </si>
  <si>
    <t>Annual Interest Rate</t>
  </si>
  <si>
    <t>Life Loan</t>
  </si>
  <si>
    <t>Date</t>
  </si>
  <si>
    <t>Payment #</t>
  </si>
  <si>
    <t>Pay Amt</t>
  </si>
  <si>
    <t>Interest</t>
  </si>
  <si>
    <t>Principal</t>
  </si>
  <si>
    <t>Property Tax</t>
  </si>
  <si>
    <t>Loan</t>
  </si>
  <si>
    <t>Number of Payments in a year</t>
  </si>
  <si>
    <t>Payment per period</t>
  </si>
  <si>
    <t>Sum of payments</t>
  </si>
  <si>
    <t>Interest cost</t>
  </si>
  <si>
    <t>Total number of payments</t>
  </si>
  <si>
    <t xml:space="preserve"> Income</t>
  </si>
  <si>
    <t>Person 1</t>
  </si>
  <si>
    <t>Working</t>
  </si>
  <si>
    <t>Employment Hours</t>
  </si>
  <si>
    <t>Employment Rate</t>
  </si>
  <si>
    <t>Unemployment Insurance/WC/TANF</t>
  </si>
  <si>
    <t>General Exemption if not receiving unearned income</t>
  </si>
  <si>
    <t>OPWDD Housing Subsidy</t>
  </si>
  <si>
    <t>Input HUD Income Limit</t>
  </si>
  <si>
    <t>Input HUD Fair Market Rent</t>
  </si>
  <si>
    <t>HUD Income Limits (IL)</t>
  </si>
  <si>
    <t>HUD Fair Market Rents (FMR)</t>
  </si>
  <si>
    <t>Calculating HUD subsidy</t>
  </si>
  <si>
    <t>https://files.hudexchange.info/resources/documents/IncomeResidentRentCalc.pdf</t>
  </si>
  <si>
    <t>Type/Notes</t>
  </si>
  <si>
    <t>Amount</t>
  </si>
  <si>
    <t>Burial Account (&lt;$1,500)</t>
  </si>
  <si>
    <t>Household</t>
  </si>
  <si>
    <t>Medical</t>
  </si>
  <si>
    <t>Internet/Cable/Phone</t>
  </si>
  <si>
    <t>Total</t>
  </si>
  <si>
    <t>One time Transition Stipend</t>
  </si>
  <si>
    <t>Total Maintenance</t>
  </si>
  <si>
    <t xml:space="preserve">Utilities </t>
  </si>
  <si>
    <t>Electric, Gas, Heating Fuel</t>
  </si>
  <si>
    <t>Trash/Water/Other</t>
  </si>
  <si>
    <t xml:space="preserve">Income Available for Housing </t>
  </si>
  <si>
    <t>*check transition stipend</t>
  </si>
  <si>
    <t>Maximum Payment Standard (HUD FMR)</t>
  </si>
  <si>
    <t>Notes:</t>
  </si>
  <si>
    <t>Number of Bedrooms</t>
  </si>
  <si>
    <t>(enter 1, 2, 3, or 4)</t>
  </si>
  <si>
    <t>County/Municipality</t>
  </si>
  <si>
    <t>Albany</t>
  </si>
  <si>
    <t>(enter number of each below)</t>
  </si>
  <si>
    <t>Spouse/Significant other</t>
  </si>
  <si>
    <t>Others (roommates/housemates)</t>
  </si>
  <si>
    <t>Live-In Caregiver</t>
  </si>
  <si>
    <t>Dependent children</t>
  </si>
  <si>
    <t>Total Number of Adult Residents</t>
  </si>
  <si>
    <t>(excluding dependent children)</t>
  </si>
  <si>
    <t>Monthly Countable Income</t>
  </si>
  <si>
    <t>SSI, SSDI, UI, WC, TANF, EITC</t>
  </si>
  <si>
    <t>Monthly Gross Income</t>
  </si>
  <si>
    <t>Individual Deductions</t>
  </si>
  <si>
    <t>Medicaid buy in</t>
  </si>
  <si>
    <t>Out of Pocket Medical</t>
  </si>
  <si>
    <t>Health Insurance Premiums</t>
  </si>
  <si>
    <t>Unreimbursed attendant care</t>
  </si>
  <si>
    <t>($40/month/dependent child)</t>
  </si>
  <si>
    <t>Personal Allowance</t>
  </si>
  <si>
    <t>($200/month)</t>
  </si>
  <si>
    <t>Childcare expense</t>
  </si>
  <si>
    <t>Rep Payee Fee</t>
  </si>
  <si>
    <t>Trust Fund fee</t>
  </si>
  <si>
    <t>Child support</t>
  </si>
  <si>
    <t>Alimony</t>
  </si>
  <si>
    <t>Total Deductions</t>
  </si>
  <si>
    <t>Monthly Net Income</t>
  </si>
  <si>
    <t>Monthly Gross Housing Contribution</t>
  </si>
  <si>
    <t>Utility &amp; Insurance Deductions</t>
  </si>
  <si>
    <t>Per Person</t>
  </si>
  <si>
    <t>Home/Renters insurance</t>
  </si>
  <si>
    <t>Condo/Coop fees</t>
  </si>
  <si>
    <t>Total Allowable Utility &amp; Insurance Deductions</t>
  </si>
  <si>
    <t>Remaining Out-of-Pocket Utility &amp; Insurance Costs</t>
  </si>
  <si>
    <t>Monthly Net Housing Contribution</t>
  </si>
  <si>
    <t>Monthly Housing Costs</t>
  </si>
  <si>
    <t>(enter total rent, mortgage payment (including taxes), condo/co-op fee)</t>
  </si>
  <si>
    <t>Individual Subsidy Calculation</t>
  </si>
  <si>
    <t>Maximum Monthly Housing Subsidy</t>
  </si>
  <si>
    <t>Allowed OPWDD Housing Subsidy</t>
  </si>
  <si>
    <t>Individual Out-of-Pocket Housing Costs</t>
  </si>
  <si>
    <t>Percentage of Individual Income toward Total Housing Costs</t>
  </si>
  <si>
    <t>If more than one person:</t>
  </si>
  <si>
    <t>Complete the budget for each person separately.</t>
  </si>
  <si>
    <t>Then record each person's "Monthly Countable Income."</t>
  </si>
  <si>
    <t>Person 2</t>
  </si>
  <si>
    <t>Person 3</t>
  </si>
  <si>
    <t>Person 4 or LIC</t>
  </si>
  <si>
    <t>Total for Group</t>
  </si>
  <si>
    <t>Input IL for group</t>
  </si>
  <si>
    <t>Input FMR for group</t>
  </si>
  <si>
    <t>Rent Subsidy ISS (INPUT)</t>
  </si>
  <si>
    <r>
      <rPr>
        <b/>
        <sz val="14"/>
        <color rgb="FFFF0000"/>
        <rFont val="Calibri"/>
        <family val="2"/>
        <scheme val="minor"/>
      </rPr>
      <t>OR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Rent Subsidy Section 8</t>
    </r>
  </si>
  <si>
    <t>{"BrowserAndLocation":{"ConversionPath":"C:\\Users\\pdail\\OneDrive\\Documents\\SpreadsheetConverter","SelectedBrowsers":[]},"SpreadsheetServer":{"Username":"","Password":"","ServerUrl":"","TestUsername":"","TestPassword":""},"ConfigureSubmitDefault":{"Email":"pdailor@gmail.com","Free":false,"Advanced":false,"AdvancedSecured":false,"Demo":true},"MessageBubble":{"Close":false,"TopMsg":0},"CustomizeTheme":{"Theme":"C:\\Users\\user\\AppData\\Roaming\\SpreadsheetConverter\\V8\\SupportFiles\\themes\\bootstrap\\css\\default-ssc-theme.css"},"QrSetting":{"ShowOnConversion":true},"CongratsPage":{"LastOpenedVersion":""},"WordPressPluginSetting":{"IsPluginInstalled":false},"Preferences":{"IsAdvancedSettingModelInitialize":true,"IsCaptchaInitialize":true,"IsNodeSettingInitialize":false,"IsRequiredFieldModalInitialize":true,"IsSubmitDialogModelInitialize":true,"IsToolbarButtonModelInitialize":true,"IsWizardButtonModelInitialize":true,"ReadFromHidden":false,"AdvancedSetting":null,"NodeSetting":{"LoginText":{"LoginButtonText":"Login","PageDescription":"Restricted access only","LoginErrorMessage":"Authentication failed, please check your username and password.","PlaceholderPassword":"password","PlaceholderUsername":"username / email","UserExtraMessage":""}},"Captcha":{"Heading":"Enter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 or invalid.","OkButton":"OK","DDLDefaultRequiredText":"Please Select"},"WizardButton":{"Next":"Next","Previous":"Previous","Cancel":"Cancel","Finish":"Finish"},"ToolbarButton":{"Submit":"Submit","PrintSheet":"Print","PrintAll":"Print All","Reset":"Reset","Update":"Update","Back":"Back","PrintThis":"Print This"},"SubmitDialog":{"SubmitDialogHeading":"Submit Successful.","SubmitDialogDesc":"The form was successfully submitted.","BeforeSubmitDesc":"The form is being submitted.","OfflineHeading":"Save until online","OfflineDesc":"You are currently offline and the submit failed. Do you want to save the submit and send it later when you are online.","OfflineConfirm":"Do you want to save?","OfflineSubmitHeading":"Offline forms submit confirmation","OfflineSubmitDesc":"There are Offline form(s), which are now ready to submit in server.","OfflineSubmitConfirm":"Do you want to submit?","FailOfflineHeading":"Offline Form submit failed","FailOfflineDesc":"Unable to connect to the Internet. Please try submitting the offline forms later in internet connection.","OfflineSubmitWait":"It may take sometime to finish all submits depending on the size of offline forms and internet connection.","OfflineSubmitWaitCounter":"Left","OfflineSubmitError":"Submit error: Please try later."}},"UxPreferences":null}</t>
  </si>
  <si>
    <r>
      <t>Broker Fee (% of annual rent</t>
    </r>
    <r>
      <rPr>
        <sz val="14"/>
        <color theme="1"/>
        <rFont val="Calibri"/>
        <family val="2"/>
      </rPr>
      <t>÷Amortization period)</t>
    </r>
  </si>
  <si>
    <r>
      <t xml:space="preserve">Deposit (% of one month's rent </t>
    </r>
    <r>
      <rPr>
        <sz val="14"/>
        <color theme="1"/>
        <rFont val="Calibri"/>
        <family val="2"/>
      </rPr>
      <t>÷ Amortization period)*</t>
    </r>
  </si>
  <si>
    <t>{"IsHide":false,"HiddenInExcel":false,"SheetId":-1,"Name":"Income","Guid":"OZCJPY","Index":2,"VisibleRange":"","SheetTheme":{"TabColor":"","BodyColor":"","BodyImage":""},"IsPrintSheet":false}</t>
  </si>
  <si>
    <t>{"IsHide":false,"HiddenInExcel":false,"SheetId":-1,"Name":"Housing Subsidy","Guid":"TBOPI9","Index":3,"VisibleRange":"","SheetTheme":{"TabColor":"","BodyColor":"","BodyImage":""},"IsPrintSheet":false}</t>
  </si>
  <si>
    <t>{"IsHide":false,"HiddenInExcel":false,"SheetId":-1,"Name":"Savings","Guid":"MGQ90D","Index":4,"VisibleRange":"","SheetTheme":{"TabColor":"","BodyColor":"","BodyImage":""},"IsPrintSheet":false}</t>
  </si>
  <si>
    <t>{"IsHide":false,"HiddenInExcel":false,"SheetId":-1,"Name":"Non Housing Expenses","Guid":"K7LPUB","Index":5,"VisibleRange":"","SheetTheme":{"TabColor":"","BodyColor":"","BodyImage":""},"IsPrintSheet":false}</t>
  </si>
  <si>
    <t>{"IsHide":false,"HiddenInExcel":false,"SheetId":-1,"Name":"Own","Guid":"IYKZSN","Index":6,"VisibleRange":"","SheetTheme":{"TabColor":"","BodyColor":"","BodyImage":""},"IsPrintSheet":false}</t>
  </si>
  <si>
    <t>{"IsHide":false,"HiddenInExcel":false,"SheetId":-1,"Name":"Rent","Guid":"R2BE9T","Index":7,"VisibleRange":"","SheetTheme":{"TabColor":"","BodyColor":"","BodyImage":""},"IsPrintSheet":false}</t>
  </si>
  <si>
    <t>{"IsHide":false,"HiddenInExcel":false,"SheetId":-1,"Name":"Group","Guid":"BSCLIW","Index":8,"VisibleRange":"","SheetTheme":{"TabColor":"","BodyColor":"","BodyImage":""},"IsPrintSheet":false}</t>
  </si>
  <si>
    <t>{"IsHide":true,"HiddenInExcel":false,"SheetId":-1,"Name":"HUD FMR","Guid":"7M8K2Q","Index":10,"VisibleRange":"","SheetTheme":{"TabColor":"","BodyColor":"","BodyImage":""},"IsPrintSheet":false}</t>
  </si>
  <si>
    <t>{"IsHide":true,"HiddenInExcel":false,"SheetId":-1,"Name":"Mortgage","Guid":"LNIC55","Index":9,"VisibleRange":"","SheetTheme":{"TabColor":"","BodyColor":"","BodyImage":""},"IsPrintSheet":false}</t>
  </si>
  <si>
    <r>
      <rPr>
        <b/>
        <i/>
        <sz val="14"/>
        <color theme="1"/>
        <rFont val="Calibri"/>
        <family val="2"/>
        <scheme val="minor"/>
      </rPr>
      <t>LESS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PASS Plan</t>
    </r>
  </si>
  <si>
    <r>
      <rPr>
        <b/>
        <sz val="14"/>
        <color theme="1"/>
        <rFont val="Calibri"/>
        <family val="2"/>
        <scheme val="minor"/>
      </rPr>
      <t>OR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Rent Subsidy Section 8 </t>
    </r>
  </si>
  <si>
    <t>{"IsHide":false,"HiddenInExcel":false,"SheetId":-1,"Name":"Intro","Guid":"V9XMXW","Index":1,"VisibleRange":"","SheetTheme":{"TabColor":"","BodyColor":"","BodyImage":""},"IsPrintSheet":false}</t>
  </si>
  <si>
    <t>{"InputDetection":1,"RecalcMode":1,"Name":"Housing Calculator","Flavor":0,"Edition":3,"CopyProtect":{"IsEnabled":false,"DomainName":""},"HideSscPoweredlogo":false,"AspnetConfig":{"BrowseUrl":"http://localhost/ssc","FileExtension":0},"NodeSecureLoginEnabled":false,"SmartphoneSettings":{"ViewportLock":true,"UseOldViewEngine":false,"EnableZoom":false,"EnableSwipe":false,"HideToolbar":false,"InheritBackgroundColor":false,"CheckboxFlavor":1,"ShowBubble":false},"SmartphoneTheme":1,"Theme":{"BgColor":"#FFFFFFFF","BgImage":"","InputBorderStyle":0,"AppliedTheme":""},"Layout":3,"LayoutSamePagesHeightEnabled":false,"Toolbar":{"Position":3,"IsSubmit":false,"IsPrintSheet":false,"IsPrintAll":true,"IsPrintThis":false,"IsReset":true,"IsUpdate":false},"ConfigureSubmit":{"IsShowCaptcha":false,"IsUseSscWebServer":true,"ReceiverCode":"pdailor@gmail.com","IsFreeService":false,"IsAdvanceService":false,"IsSecureEmail":false,"IsDemonstrationService":true,"AfterSuccessfulSubmit":"","AfterFailSubmit":"","AfterCancelWizard":"","IsUseOwnWebServer":false,"OwnWebServerURL":"","OwnWebServerTarget":"","SubmitTarget":0},"IgnoreBgInputCell":false,"ButtonStyle":0,"ResponsiveDesignDisabled":false,"HideLookupRange":false,"BrowserStorageEnabled":false,"RealtimeSyncEnabled":false,"GoogleAnalyticsTrackingId":"","GoogleApiKey":"","ChartSelected":2,"ChartYAxisFixed":false}</t>
  </si>
  <si>
    <t>D44</t>
  </si>
  <si>
    <t>D45</t>
  </si>
  <si>
    <t>E35</t>
  </si>
  <si>
    <t>D7</t>
  </si>
  <si>
    <t>D9</t>
  </si>
  <si>
    <t>EMPLOYMENT INCOME</t>
  </si>
  <si>
    <t>Pooled trust (only if no 1st or 3rd)</t>
  </si>
  <si>
    <t>Total Individual Out-of-Pocket Costs*</t>
  </si>
  <si>
    <t>Owning a Co-Op or Condominium</t>
  </si>
  <si>
    <t>Owning a House</t>
  </si>
  <si>
    <t>Association/Co-op Fees</t>
  </si>
  <si>
    <t>House</t>
  </si>
  <si>
    <t>Condo</t>
  </si>
  <si>
    <t>https://www.huduser.gov/portal/datasets/il.html</t>
  </si>
  <si>
    <t>https://www.huduser.gov/portal/datasets/fmr.html</t>
  </si>
  <si>
    <t>https://otda.ny.gov/programs/snap/</t>
  </si>
  <si>
    <t>https://www.irs.gov/filing/federal-income-tax-rates-and-brackets</t>
  </si>
  <si>
    <t>Federal Tax Brackets</t>
  </si>
  <si>
    <t>NYS Tax Tables</t>
  </si>
  <si>
    <t>https://www.tax.ny.gov/pit/file/tax-tables/</t>
  </si>
  <si>
    <t>D8</t>
  </si>
  <si>
    <t>*(includes total per person utility &amp; insurance costs)</t>
  </si>
  <si>
    <t>Board Stipend</t>
  </si>
  <si>
    <r>
      <t>Planned Reimbursements (</t>
    </r>
    <r>
      <rPr>
        <i/>
        <sz val="12"/>
        <color theme="1"/>
        <rFont val="Calibri"/>
        <family val="2"/>
        <scheme val="minor"/>
      </rPr>
      <t>e.g., Self-Direction)</t>
    </r>
  </si>
  <si>
    <t>Phone</t>
  </si>
  <si>
    <t>Internet</t>
  </si>
  <si>
    <t>Utilities/Alarm</t>
  </si>
  <si>
    <t>Snow/Yard/Other</t>
  </si>
  <si>
    <t>Non Housing Expenses</t>
  </si>
  <si>
    <t>Total Reimbursements</t>
  </si>
  <si>
    <t>Income Available for Housing</t>
  </si>
  <si>
    <t>Net of "Income Available for Housing" vs "Total Housing Cost"</t>
  </si>
  <si>
    <t>Total Housing Cost</t>
  </si>
  <si>
    <t>Anticipated Out-of-Pocket Costs</t>
  </si>
  <si>
    <t>Cells highlighted in Orange are unlocked and available for input.</t>
  </si>
  <si>
    <t>Cells highlighted in Green are formulae. They will populate automatically.</t>
  </si>
  <si>
    <t>2. Savings</t>
  </si>
  <si>
    <t>1. Income</t>
  </si>
  <si>
    <t>5. Rent</t>
  </si>
  <si>
    <t>6. Own (House OR Co-Op, Condo)</t>
  </si>
  <si>
    <t>Individual + Spouse/Significant Other = 1 bedroom</t>
  </si>
  <si>
    <t>e.g. current (Housing Subsidy tab, cell E17)</t>
  </si>
  <si>
    <t>Monthly Rent</t>
  </si>
  <si>
    <t>Share of Housing Costs</t>
  </si>
  <si>
    <t>Total Monthly Housing Cost</t>
  </si>
  <si>
    <t>Renter's Insurance</t>
  </si>
  <si>
    <t>Monthly Utilities</t>
  </si>
  <si>
    <t>Dependent children not counted in subsidy calculation.</t>
  </si>
  <si>
    <t>Each dependent child w/ bedroom increases HUD FMR category by 1 room.</t>
  </si>
  <si>
    <t>Reference Cell</t>
  </si>
  <si>
    <t>Link</t>
  </si>
  <si>
    <t>3. Non Housing Expenses</t>
  </si>
  <si>
    <t>4. Housing Subsidy</t>
  </si>
  <si>
    <t>Please note, column "D" in the tab "Own (House)" highlighted in orange requires you to do a little digging to obtain estimates for replacement costs.</t>
  </si>
  <si>
    <t>The assignments will ask that you complete the sheets in the following order:</t>
  </si>
  <si>
    <r>
      <rPr>
        <b/>
        <i/>
        <sz val="14"/>
        <rFont val="Calibri"/>
        <family val="2"/>
        <scheme val="minor"/>
      </rPr>
      <t>LESS</t>
    </r>
    <r>
      <rPr>
        <i/>
        <sz val="14"/>
        <rFont val="Calibri"/>
        <family val="2"/>
        <scheme val="minor"/>
      </rPr>
      <t xml:space="preserve"> Countable Unearned Income</t>
    </r>
  </si>
  <si>
    <t>Unearned Income (inc SSDI/UI)</t>
  </si>
  <si>
    <t>Gross Earnings</t>
  </si>
  <si>
    <t>Self-Employment Income</t>
  </si>
  <si>
    <t>Impairment-Related Work Expense (IRWE)</t>
  </si>
  <si>
    <t>Subsidies (Title II only)</t>
  </si>
  <si>
    <t>Special Conditions (Title II only)</t>
  </si>
  <si>
    <t>Earned Income Exemption (up to first $65)</t>
  </si>
  <si>
    <t>Individual Development Account (Qualified IDA only)</t>
  </si>
  <si>
    <t>Self-Employment Tax</t>
  </si>
  <si>
    <t>Per Month</t>
  </si>
  <si>
    <t>Per Hour</t>
  </si>
  <si>
    <t>Bracket</t>
  </si>
  <si>
    <r>
      <t xml:space="preserve">Federal Income Tax </t>
    </r>
    <r>
      <rPr>
        <i/>
        <sz val="12"/>
        <color theme="1"/>
        <rFont val="Calibri"/>
        <family val="2"/>
        <scheme val="minor"/>
      </rPr>
      <t>(see link)</t>
    </r>
  </si>
  <si>
    <r>
      <t xml:space="preserve">State Taxes </t>
    </r>
    <r>
      <rPr>
        <i/>
        <sz val="12"/>
        <color theme="1"/>
        <rFont val="Calibri"/>
        <family val="2"/>
        <scheme val="minor"/>
      </rPr>
      <t>(see link)</t>
    </r>
  </si>
  <si>
    <r>
      <t xml:space="preserve">EITC </t>
    </r>
    <r>
      <rPr>
        <i/>
        <sz val="12"/>
        <color theme="1"/>
        <rFont val="Calibri"/>
        <family val="2"/>
        <scheme val="minor"/>
      </rPr>
      <t>(see link, credit not countable)</t>
    </r>
  </si>
  <si>
    <r>
      <rPr>
        <b/>
        <i/>
        <sz val="14"/>
        <color theme="1"/>
        <rFont val="Calibri"/>
        <family val="2"/>
        <scheme val="minor"/>
      </rPr>
      <t>LESS</t>
    </r>
    <r>
      <rPr>
        <i/>
        <sz val="14"/>
        <color theme="1"/>
        <rFont val="Calibri"/>
        <family val="2"/>
        <scheme val="minor"/>
      </rPr>
      <t xml:space="preserve"> Countable Earned Income</t>
    </r>
  </si>
  <si>
    <t>Divide by 2 Rule</t>
  </si>
  <si>
    <t>Blind Work Expenses (BWE)</t>
  </si>
  <si>
    <t>Remaining earned income</t>
  </si>
  <si>
    <r>
      <rPr>
        <b/>
        <i/>
        <sz val="14"/>
        <color theme="1"/>
        <rFont val="Calibri"/>
        <family val="2"/>
        <scheme val="minor"/>
      </rPr>
      <t>TOTAL</t>
    </r>
    <r>
      <rPr>
        <i/>
        <sz val="14"/>
        <color theme="1"/>
        <rFont val="Calibri"/>
        <family val="2"/>
        <scheme val="minor"/>
      </rPr>
      <t xml:space="preserve"> Countable Unearned &amp; Earned Income</t>
    </r>
  </si>
  <si>
    <t>Countable Income Net Reduction</t>
  </si>
  <si>
    <t>FBR minus Countable Income Net Reduction</t>
  </si>
  <si>
    <t>State Supplement (SSP)</t>
  </si>
  <si>
    <t>Actual Federal Benefit (SSI)</t>
  </si>
  <si>
    <t>SSI (Federal and State)</t>
  </si>
  <si>
    <r>
      <t xml:space="preserve">NYC Taxes </t>
    </r>
    <r>
      <rPr>
        <i/>
        <sz val="12"/>
        <color theme="1"/>
        <rFont val="Calibri"/>
        <family val="2"/>
        <scheme val="minor"/>
      </rPr>
      <t>(see link for State Tax Tables)</t>
    </r>
  </si>
  <si>
    <t>Calculating SSI</t>
  </si>
  <si>
    <t>https://www.irs.gov/credits-deductions/individuals/earned-income-tax-credit/use-the-eitc-assistant</t>
  </si>
  <si>
    <t xml:space="preserve">Gross Earnings </t>
  </si>
  <si>
    <t>Countable Earnings</t>
  </si>
  <si>
    <t>SGA less countable earnings</t>
  </si>
  <si>
    <t>Less IRWE/Subsidies/Special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</si>
</sst>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\ &quot;Years to end&quot;\:"/>
    <numFmt numFmtId="166" formatCode="0\ &quot;Amortization&quot;\:"/>
    <numFmt numFmtId="167" formatCode="0\ &quot;Sharing&quot;\:"/>
    <numFmt numFmtId="168" formatCode="0.000%"/>
    <numFmt numFmtId="169" formatCode="0\ &quot;People&quot;\:"/>
    <numFmt numFmtId="170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Helvetica"/>
      <family val="2"/>
    </font>
    <font>
      <b/>
      <i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70C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4"/>
      <color theme="3" tint="0.59999389629810485"/>
      <name val="Calibri"/>
      <family val="2"/>
      <scheme val="minor"/>
    </font>
    <font>
      <sz val="14"/>
      <color theme="1"/>
      <name val="Calibri"/>
      <family val="2"/>
    </font>
    <font>
      <sz val="16"/>
      <color rgb="FF000000"/>
      <name val="Aptos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3" fillId="0" borderId="6" xfId="0" applyFont="1" applyBorder="1"/>
    <xf numFmtId="0" fontId="3" fillId="0" borderId="9" xfId="0" applyFont="1" applyBorder="1"/>
    <xf numFmtId="44" fontId="0" fillId="0" borderId="0" xfId="1" applyFont="1"/>
    <xf numFmtId="10" fontId="3" fillId="0" borderId="0" xfId="2" applyNumberFormat="1" applyFont="1"/>
    <xf numFmtId="0" fontId="3" fillId="4" borderId="4" xfId="0" applyFont="1" applyFill="1" applyBorder="1"/>
    <xf numFmtId="165" fontId="7" fillId="0" borderId="0" xfId="3" applyNumberFormat="1" applyFont="1" applyBorder="1"/>
    <xf numFmtId="0" fontId="9" fillId="0" borderId="0" xfId="0" applyFont="1"/>
    <xf numFmtId="0" fontId="5" fillId="0" borderId="0" xfId="0" applyFont="1"/>
    <xf numFmtId="167" fontId="7" fillId="0" borderId="0" xfId="3" applyNumberFormat="1" applyFont="1" applyBorder="1"/>
    <xf numFmtId="168" fontId="0" fillId="0" borderId="0" xfId="2" applyNumberFormat="1" applyFont="1"/>
    <xf numFmtId="0" fontId="10" fillId="0" borderId="0" xfId="0" applyFont="1"/>
    <xf numFmtId="44" fontId="10" fillId="0" borderId="0" xfId="1" applyFont="1"/>
    <xf numFmtId="14" fontId="0" fillId="0" borderId="0" xfId="0" applyNumberFormat="1"/>
    <xf numFmtId="44" fontId="0" fillId="0" borderId="0" xfId="0" applyNumberFormat="1"/>
    <xf numFmtId="6" fontId="0" fillId="0" borderId="0" xfId="0" applyNumberFormat="1"/>
    <xf numFmtId="44" fontId="0" fillId="0" borderId="0" xfId="1" applyFont="1" applyFill="1"/>
    <xf numFmtId="164" fontId="5" fillId="0" borderId="0" xfId="1" applyNumberFormat="1" applyFont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0" fontId="6" fillId="0" borderId="3" xfId="0" applyFont="1" applyBorder="1"/>
    <xf numFmtId="0" fontId="6" fillId="0" borderId="0" xfId="0" applyFont="1"/>
    <xf numFmtId="164" fontId="14" fillId="3" borderId="0" xfId="1" applyNumberFormat="1" applyFont="1" applyFill="1" applyBorder="1"/>
    <xf numFmtId="0" fontId="5" fillId="0" borderId="8" xfId="0" applyFont="1" applyBorder="1"/>
    <xf numFmtId="0" fontId="16" fillId="0" borderId="0" xfId="0" applyFont="1"/>
    <xf numFmtId="0" fontId="6" fillId="0" borderId="8" xfId="0" applyFont="1" applyBorder="1"/>
    <xf numFmtId="0" fontId="18" fillId="0" borderId="0" xfId="0" applyFont="1"/>
    <xf numFmtId="164" fontId="6" fillId="3" borderId="8" xfId="1" applyNumberFormat="1" applyFont="1" applyFill="1" applyBorder="1"/>
    <xf numFmtId="164" fontId="5" fillId="0" borderId="0" xfId="0" applyNumberFormat="1" applyFont="1"/>
    <xf numFmtId="164" fontId="5" fillId="3" borderId="0" xfId="1" applyNumberFormat="1" applyFont="1" applyFill="1" applyBorder="1" applyProtection="1"/>
    <xf numFmtId="9" fontId="5" fillId="0" borderId="0" xfId="2" applyFont="1" applyBorder="1"/>
    <xf numFmtId="164" fontId="19" fillId="6" borderId="0" xfId="1" applyNumberFormat="1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164" fontId="5" fillId="2" borderId="3" xfId="1" applyNumberFormat="1" applyFont="1" applyFill="1" applyBorder="1"/>
    <xf numFmtId="0" fontId="5" fillId="2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9" fillId="0" borderId="5" xfId="0" applyFont="1" applyBorder="1"/>
    <xf numFmtId="0" fontId="5" fillId="0" borderId="7" xfId="0" applyFont="1" applyBorder="1"/>
    <xf numFmtId="0" fontId="5" fillId="0" borderId="9" xfId="0" applyFont="1" applyBorder="1"/>
    <xf numFmtId="164" fontId="5" fillId="0" borderId="0" xfId="1" applyNumberFormat="1" applyFont="1" applyProtection="1"/>
    <xf numFmtId="164" fontId="22" fillId="0" borderId="16" xfId="1" applyNumberFormat="1" applyFont="1" applyFill="1" applyBorder="1" applyProtection="1"/>
    <xf numFmtId="164" fontId="5" fillId="0" borderId="0" xfId="1" applyNumberFormat="1" applyFont="1" applyFill="1" applyBorder="1" applyProtection="1"/>
    <xf numFmtId="0" fontId="5" fillId="0" borderId="0" xfId="0" applyFont="1" applyAlignment="1">
      <alignment horizontal="left"/>
    </xf>
    <xf numFmtId="1" fontId="9" fillId="3" borderId="19" xfId="0" applyNumberFormat="1" applyFont="1" applyFill="1" applyBorder="1" applyAlignment="1">
      <alignment horizontal="center"/>
    </xf>
    <xf numFmtId="164" fontId="6" fillId="0" borderId="0" xfId="1" applyNumberFormat="1" applyFont="1" applyFill="1" applyBorder="1" applyProtection="1"/>
    <xf numFmtId="164" fontId="9" fillId="3" borderId="17" xfId="1" applyNumberFormat="1" applyFont="1" applyFill="1" applyBorder="1" applyProtection="1"/>
    <xf numFmtId="164" fontId="9" fillId="3" borderId="14" xfId="1" applyNumberFormat="1" applyFont="1" applyFill="1" applyBorder="1" applyProtection="1"/>
    <xf numFmtId="164" fontId="5" fillId="3" borderId="1" xfId="1" applyNumberFormat="1" applyFont="1" applyFill="1" applyBorder="1" applyProtection="1"/>
    <xf numFmtId="0" fontId="5" fillId="0" borderId="8" xfId="0" applyFont="1" applyBorder="1" applyAlignment="1">
      <alignment horizontal="left"/>
    </xf>
    <xf numFmtId="164" fontId="5" fillId="3" borderId="18" xfId="1" applyNumberFormat="1" applyFont="1" applyFill="1" applyBorder="1" applyProtection="1"/>
    <xf numFmtId="164" fontId="5" fillId="3" borderId="17" xfId="1" applyNumberFormat="1" applyFont="1" applyFill="1" applyBorder="1" applyProtection="1"/>
    <xf numFmtId="164" fontId="5" fillId="0" borderId="0" xfId="1" applyNumberFormat="1" applyFont="1" applyBorder="1" applyProtection="1"/>
    <xf numFmtId="9" fontId="5" fillId="0" borderId="0" xfId="2" applyFont="1" applyBorder="1" applyProtection="1"/>
    <xf numFmtId="164" fontId="9" fillId="0" borderId="0" xfId="1" applyNumberFormat="1" applyFont="1" applyFill="1" applyBorder="1" applyProtection="1"/>
    <xf numFmtId="164" fontId="0" fillId="0" borderId="0" xfId="1" applyNumberFormat="1" applyFont="1" applyProtection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5" fillId="3" borderId="0" xfId="0" applyNumberFormat="1" applyFont="1" applyFill="1"/>
    <xf numFmtId="164" fontId="5" fillId="3" borderId="15" xfId="1" applyNumberFormat="1" applyFont="1" applyFill="1" applyBorder="1"/>
    <xf numFmtId="164" fontId="23" fillId="3" borderId="1" xfId="1" applyNumberFormat="1" applyFont="1" applyFill="1" applyBorder="1"/>
    <xf numFmtId="44" fontId="5" fillId="0" borderId="0" xfId="0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164" fontId="5" fillId="4" borderId="3" xfId="1" applyNumberFormat="1" applyFont="1" applyFill="1" applyBorder="1"/>
    <xf numFmtId="0" fontId="5" fillId="3" borderId="5" xfId="0" applyFont="1" applyFill="1" applyBorder="1"/>
    <xf numFmtId="164" fontId="5" fillId="3" borderId="1" xfId="1" applyNumberFormat="1" applyFont="1" applyFill="1" applyBorder="1"/>
    <xf numFmtId="164" fontId="5" fillId="0" borderId="0" xfId="1" applyNumberFormat="1" applyFont="1"/>
    <xf numFmtId="10" fontId="5" fillId="0" borderId="0" xfId="2" applyNumberFormat="1" applyFont="1" applyBorder="1"/>
    <xf numFmtId="164" fontId="23" fillId="3" borderId="0" xfId="1" applyNumberFormat="1" applyFont="1" applyFill="1" applyBorder="1" applyProtection="1"/>
    <xf numFmtId="10" fontId="6" fillId="0" borderId="0" xfId="2" applyNumberFormat="1" applyFont="1" applyBorder="1"/>
    <xf numFmtId="9" fontId="6" fillId="0" borderId="0" xfId="2" applyFont="1" applyBorder="1"/>
    <xf numFmtId="44" fontId="25" fillId="0" borderId="0" xfId="1" applyFont="1" applyBorder="1"/>
    <xf numFmtId="0" fontId="18" fillId="0" borderId="10" xfId="0" applyFont="1" applyBorder="1"/>
    <xf numFmtId="10" fontId="18" fillId="0" borderId="11" xfId="2" applyNumberFormat="1" applyFont="1" applyBorder="1"/>
    <xf numFmtId="164" fontId="18" fillId="0" borderId="11" xfId="1" applyNumberFormat="1" applyFont="1" applyBorder="1"/>
    <xf numFmtId="0" fontId="18" fillId="0" borderId="11" xfId="0" applyFont="1" applyBorder="1"/>
    <xf numFmtId="10" fontId="18" fillId="0" borderId="12" xfId="2" applyNumberFormat="1" applyFont="1" applyBorder="1"/>
    <xf numFmtId="0" fontId="5" fillId="0" borderId="2" xfId="0" applyFont="1" applyBorder="1"/>
    <xf numFmtId="0" fontId="5" fillId="0" borderId="3" xfId="0" applyFont="1" applyBorder="1"/>
    <xf numFmtId="164" fontId="5" fillId="0" borderId="3" xfId="1" applyNumberFormat="1" applyFont="1" applyBorder="1"/>
    <xf numFmtId="0" fontId="5" fillId="0" borderId="4" xfId="0" applyFont="1" applyBorder="1"/>
    <xf numFmtId="164" fontId="23" fillId="3" borderId="1" xfId="1" applyNumberFormat="1" applyFont="1" applyFill="1" applyBorder="1" applyProtection="1"/>
    <xf numFmtId="0" fontId="18" fillId="0" borderId="12" xfId="0" applyFont="1" applyBorder="1"/>
    <xf numFmtId="0" fontId="5" fillId="3" borderId="0" xfId="0" applyFont="1" applyFill="1"/>
    <xf numFmtId="0" fontId="9" fillId="0" borderId="0" xfId="0" applyFont="1" applyAlignment="1">
      <alignment horizontal="left"/>
    </xf>
    <xf numFmtId="164" fontId="5" fillId="3" borderId="1" xfId="1" applyNumberFormat="1" applyFont="1" applyFill="1" applyBorder="1" applyAlignment="1" applyProtection="1"/>
    <xf numFmtId="0" fontId="8" fillId="0" borderId="0" xfId="4" applyProtection="1">
      <protection locked="0"/>
    </xf>
    <xf numFmtId="164" fontId="0" fillId="0" borderId="0" xfId="0" applyNumberFormat="1"/>
    <xf numFmtId="0" fontId="27" fillId="0" borderId="0" xfId="0" applyFont="1"/>
    <xf numFmtId="0" fontId="2" fillId="0" borderId="0" xfId="0" applyFont="1"/>
    <xf numFmtId="0" fontId="5" fillId="2" borderId="2" xfId="0" applyFont="1" applyFill="1" applyBorder="1" applyAlignment="1">
      <alignment horizontal="left"/>
    </xf>
    <xf numFmtId="0" fontId="9" fillId="0" borderId="10" xfId="0" applyFont="1" applyBorder="1"/>
    <xf numFmtId="10" fontId="9" fillId="0" borderId="11" xfId="2" applyNumberFormat="1" applyFont="1" applyBorder="1"/>
    <xf numFmtId="164" fontId="9" fillId="0" borderId="11" xfId="1" applyNumberFormat="1" applyFont="1" applyBorder="1"/>
    <xf numFmtId="0" fontId="9" fillId="0" borderId="11" xfId="0" applyFont="1" applyBorder="1"/>
    <xf numFmtId="164" fontId="9" fillId="3" borderId="12" xfId="0" applyNumberFormat="1" applyFont="1" applyFill="1" applyBorder="1"/>
    <xf numFmtId="164" fontId="9" fillId="3" borderId="0" xfId="1" applyNumberFormat="1" applyFont="1" applyFill="1" applyBorder="1"/>
    <xf numFmtId="10" fontId="5" fillId="0" borderId="0" xfId="2" applyNumberFormat="1" applyFont="1" applyFill="1" applyBorder="1" applyProtection="1"/>
    <xf numFmtId="0" fontId="22" fillId="0" borderId="0" xfId="0" applyFont="1" applyAlignment="1">
      <alignment wrapText="1"/>
    </xf>
    <xf numFmtId="44" fontId="5" fillId="8" borderId="0" xfId="1" applyFont="1" applyFill="1" applyBorder="1" applyAlignment="1" applyProtection="1">
      <alignment horizontal="right"/>
      <protection locked="0"/>
    </xf>
    <xf numFmtId="0" fontId="5" fillId="8" borderId="0" xfId="0" applyFont="1" applyFill="1"/>
    <xf numFmtId="164" fontId="5" fillId="8" borderId="0" xfId="1" applyNumberFormat="1" applyFont="1" applyFill="1" applyBorder="1" applyProtection="1"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1" fontId="5" fillId="8" borderId="1" xfId="0" applyNumberFormat="1" applyFont="1" applyFill="1" applyBorder="1" applyAlignment="1" applyProtection="1">
      <alignment horizontal="center"/>
      <protection locked="0"/>
    </xf>
    <xf numFmtId="164" fontId="9" fillId="8" borderId="17" xfId="1" applyNumberFormat="1" applyFont="1" applyFill="1" applyBorder="1" applyProtection="1">
      <protection locked="0"/>
    </xf>
    <xf numFmtId="1" fontId="5" fillId="8" borderId="18" xfId="0" applyNumberFormat="1" applyFont="1" applyFill="1" applyBorder="1" applyAlignment="1" applyProtection="1">
      <alignment horizontal="center"/>
      <protection locked="0"/>
    </xf>
    <xf numFmtId="164" fontId="5" fillId="8" borderId="1" xfId="1" applyNumberFormat="1" applyFont="1" applyFill="1" applyBorder="1" applyProtection="1">
      <protection locked="0"/>
    </xf>
    <xf numFmtId="164" fontId="5" fillId="8" borderId="18" xfId="1" applyNumberFormat="1" applyFont="1" applyFill="1" applyBorder="1" applyProtection="1">
      <protection locked="0"/>
    </xf>
    <xf numFmtId="165" fontId="9" fillId="8" borderId="0" xfId="3" applyNumberFormat="1" applyFont="1" applyFill="1" applyBorder="1" applyProtection="1">
      <protection locked="0"/>
    </xf>
    <xf numFmtId="10" fontId="9" fillId="8" borderId="0" xfId="2" applyNumberFormat="1" applyFont="1" applyFill="1" applyBorder="1" applyProtection="1">
      <protection locked="0"/>
    </xf>
    <xf numFmtId="9" fontId="9" fillId="8" borderId="0" xfId="2" applyFont="1" applyFill="1" applyBorder="1" applyProtection="1">
      <protection locked="0"/>
    </xf>
    <xf numFmtId="10" fontId="5" fillId="8" borderId="0" xfId="2" applyNumberFormat="1" applyFont="1" applyFill="1" applyBorder="1" applyProtection="1">
      <protection locked="0"/>
    </xf>
    <xf numFmtId="164" fontId="21" fillId="8" borderId="1" xfId="1" applyNumberFormat="1" applyFont="1" applyFill="1" applyBorder="1" applyProtection="1">
      <protection locked="0"/>
    </xf>
    <xf numFmtId="169" fontId="7" fillId="8" borderId="1" xfId="3" applyNumberFormat="1" applyFont="1" applyFill="1" applyBorder="1" applyProtection="1">
      <protection locked="0"/>
    </xf>
    <xf numFmtId="164" fontId="5" fillId="8" borderId="13" xfId="1" applyNumberFormat="1" applyFont="1" applyFill="1" applyBorder="1" applyProtection="1">
      <protection locked="0"/>
    </xf>
    <xf numFmtId="164" fontId="5" fillId="8" borderId="14" xfId="1" applyNumberFormat="1" applyFont="1" applyFill="1" applyBorder="1" applyProtection="1">
      <protection locked="0"/>
    </xf>
    <xf numFmtId="164" fontId="5" fillId="8" borderId="15" xfId="1" applyNumberFormat="1" applyFont="1" applyFill="1" applyBorder="1" applyProtection="1">
      <protection locked="0"/>
    </xf>
    <xf numFmtId="164" fontId="9" fillId="0" borderId="12" xfId="1" applyNumberFormat="1" applyFont="1" applyBorder="1"/>
    <xf numFmtId="164" fontId="9" fillId="3" borderId="12" xfId="1" applyNumberFormat="1" applyFont="1" applyFill="1" applyBorder="1"/>
    <xf numFmtId="0" fontId="9" fillId="0" borderId="2" xfId="0" applyFont="1" applyBorder="1"/>
    <xf numFmtId="164" fontId="5" fillId="0" borderId="3" xfId="1" applyNumberFormat="1" applyFont="1" applyBorder="1" applyProtection="1"/>
    <xf numFmtId="0" fontId="9" fillId="0" borderId="4" xfId="0" applyFont="1" applyBorder="1"/>
    <xf numFmtId="0" fontId="5" fillId="0" borderId="5" xfId="0" applyFont="1" applyBorder="1" applyAlignment="1">
      <alignment horizontal="left"/>
    </xf>
    <xf numFmtId="164" fontId="22" fillId="0" borderId="0" xfId="1" applyNumberFormat="1" applyFont="1" applyBorder="1" applyProtection="1"/>
    <xf numFmtId="0" fontId="5" fillId="0" borderId="2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5" xfId="0" applyBorder="1"/>
    <xf numFmtId="0" fontId="22" fillId="0" borderId="6" xfId="0" applyFont="1" applyBorder="1"/>
    <xf numFmtId="9" fontId="5" fillId="3" borderId="0" xfId="2" applyFont="1" applyFill="1" applyBorder="1" applyProtection="1"/>
    <xf numFmtId="9" fontId="5" fillId="0" borderId="0" xfId="2" applyFont="1" applyFill="1" applyBorder="1" applyProtection="1"/>
    <xf numFmtId="164" fontId="9" fillId="0" borderId="0" xfId="1" applyNumberFormat="1" applyFont="1" applyBorder="1" applyAlignment="1" applyProtection="1">
      <alignment horizontal="center"/>
    </xf>
    <xf numFmtId="0" fontId="9" fillId="0" borderId="6" xfId="0" applyFont="1" applyBorder="1" applyAlignment="1">
      <alignment horizontal="center"/>
    </xf>
    <xf numFmtId="164" fontId="5" fillId="3" borderId="24" xfId="0" applyNumberFormat="1" applyFont="1" applyFill="1" applyBorder="1"/>
    <xf numFmtId="164" fontId="5" fillId="3" borderId="25" xfId="1" applyNumberFormat="1" applyFont="1" applyFill="1" applyBorder="1" applyProtection="1"/>
    <xf numFmtId="0" fontId="22" fillId="0" borderId="6" xfId="0" applyFont="1" applyBorder="1" applyAlignment="1">
      <alignment wrapText="1"/>
    </xf>
    <xf numFmtId="164" fontId="5" fillId="3" borderId="25" xfId="0" applyNumberFormat="1" applyFont="1" applyFill="1" applyBorder="1"/>
    <xf numFmtId="164" fontId="9" fillId="3" borderId="26" xfId="1" applyNumberFormat="1" applyFont="1" applyFill="1" applyBorder="1" applyProtection="1"/>
    <xf numFmtId="164" fontId="9" fillId="0" borderId="26" xfId="1" applyNumberFormat="1" applyFont="1" applyFill="1" applyBorder="1" applyProtection="1"/>
    <xf numFmtId="9" fontId="9" fillId="3" borderId="24" xfId="2" applyFont="1" applyFill="1" applyBorder="1" applyProtection="1"/>
    <xf numFmtId="164" fontId="5" fillId="0" borderId="8" xfId="1" applyNumberFormat="1" applyFont="1" applyBorder="1" applyProtection="1"/>
    <xf numFmtId="0" fontId="18" fillId="0" borderId="5" xfId="0" applyFont="1" applyBorder="1"/>
    <xf numFmtId="0" fontId="19" fillId="6" borderId="5" xfId="0" applyFont="1" applyFill="1" applyBorder="1"/>
    <xf numFmtId="164" fontId="19" fillId="6" borderId="8" xfId="0" applyNumberFormat="1" applyFont="1" applyFill="1" applyBorder="1"/>
    <xf numFmtId="9" fontId="5" fillId="8" borderId="0" xfId="2" applyFont="1" applyFill="1" applyBorder="1" applyAlignment="1" applyProtection="1">
      <alignment horizontal="right"/>
      <protection locked="0"/>
    </xf>
    <xf numFmtId="1" fontId="5" fillId="8" borderId="0" xfId="2" applyNumberFormat="1" applyFont="1" applyFill="1" applyBorder="1" applyAlignment="1" applyProtection="1">
      <alignment horizontal="right"/>
      <protection locked="0"/>
    </xf>
    <xf numFmtId="44" fontId="5" fillId="0" borderId="0" xfId="1" applyFont="1" applyFill="1" applyBorder="1" applyAlignment="1" applyProtection="1">
      <alignment horizontal="right"/>
    </xf>
    <xf numFmtId="170" fontId="5" fillId="3" borderId="0" xfId="2" applyNumberFormat="1" applyFont="1" applyFill="1" applyBorder="1" applyAlignment="1" applyProtection="1">
      <alignment horizontal="right"/>
    </xf>
    <xf numFmtId="164" fontId="22" fillId="0" borderId="0" xfId="1" applyNumberFormat="1" applyFont="1" applyBorder="1" applyAlignment="1">
      <alignment horizontal="right"/>
    </xf>
    <xf numFmtId="0" fontId="9" fillId="0" borderId="7" xfId="0" applyFont="1" applyBorder="1"/>
    <xf numFmtId="0" fontId="9" fillId="0" borderId="7" xfId="0" applyFont="1" applyBorder="1" applyAlignment="1">
      <alignment horizontal="left"/>
    </xf>
    <xf numFmtId="0" fontId="12" fillId="0" borderId="28" xfId="0" applyFont="1" applyBorder="1" applyAlignment="1">
      <alignment horizontal="right"/>
    </xf>
    <xf numFmtId="164" fontId="5" fillId="0" borderId="6" xfId="1" applyNumberFormat="1" applyFont="1" applyBorder="1" applyAlignment="1">
      <alignment horizontal="center"/>
    </xf>
    <xf numFmtId="164" fontId="5" fillId="3" borderId="6" xfId="1" applyNumberFormat="1" applyFont="1" applyFill="1" applyBorder="1" applyProtection="1"/>
    <xf numFmtId="164" fontId="5" fillId="0" borderId="6" xfId="1" applyNumberFormat="1" applyFont="1" applyFill="1" applyBorder="1" applyProtection="1"/>
    <xf numFmtId="164" fontId="5" fillId="8" borderId="6" xfId="1" applyNumberFormat="1" applyFont="1" applyFill="1" applyBorder="1" applyProtection="1">
      <protection locked="0"/>
    </xf>
    <xf numFmtId="44" fontId="6" fillId="0" borderId="4" xfId="1" applyFont="1" applyBorder="1"/>
    <xf numFmtId="164" fontId="6" fillId="3" borderId="6" xfId="1" applyNumberFormat="1" applyFont="1" applyFill="1" applyBorder="1" applyProtection="1"/>
    <xf numFmtId="164" fontId="6" fillId="3" borderId="6" xfId="1" applyNumberFormat="1" applyFont="1" applyFill="1" applyBorder="1"/>
    <xf numFmtId="164" fontId="14" fillId="3" borderId="6" xfId="1" applyNumberFormat="1" applyFont="1" applyFill="1" applyBorder="1"/>
    <xf numFmtId="164" fontId="14" fillId="3" borderId="29" xfId="1" applyNumberFormat="1" applyFont="1" applyFill="1" applyBorder="1"/>
    <xf numFmtId="164" fontId="6" fillId="8" borderId="6" xfId="1" applyNumberFormat="1" applyFont="1" applyFill="1" applyBorder="1" applyProtection="1">
      <protection locked="0"/>
    </xf>
    <xf numFmtId="164" fontId="6" fillId="3" borderId="6" xfId="0" applyNumberFormat="1" applyFont="1" applyFill="1" applyBorder="1"/>
    <xf numFmtId="164" fontId="9" fillId="3" borderId="9" xfId="1" applyNumberFormat="1" applyFont="1" applyFill="1" applyBorder="1" applyProtection="1"/>
    <xf numFmtId="164" fontId="29" fillId="3" borderId="6" xfId="1" applyNumberFormat="1" applyFont="1" applyFill="1" applyBorder="1"/>
    <xf numFmtId="164" fontId="29" fillId="3" borderId="9" xfId="1" applyNumberFormat="1" applyFont="1" applyFill="1" applyBorder="1"/>
    <xf numFmtId="164" fontId="9" fillId="7" borderId="6" xfId="0" applyNumberFormat="1" applyFont="1" applyFill="1" applyBorder="1"/>
    <xf numFmtId="164" fontId="9" fillId="8" borderId="6" xfId="1" applyNumberFormat="1" applyFont="1" applyFill="1" applyBorder="1" applyProtection="1">
      <protection locked="0"/>
    </xf>
    <xf numFmtId="164" fontId="5" fillId="3" borderId="6" xfId="1" applyNumberFormat="1" applyFont="1" applyFill="1" applyBorder="1"/>
    <xf numFmtId="44" fontId="5" fillId="0" borderId="6" xfId="1" applyFont="1" applyBorder="1"/>
    <xf numFmtId="164" fontId="5" fillId="5" borderId="6" xfId="1" applyNumberFormat="1" applyFont="1" applyFill="1" applyBorder="1"/>
    <xf numFmtId="164" fontId="5" fillId="0" borderId="6" xfId="1" applyNumberFormat="1" applyFont="1" applyBorder="1"/>
    <xf numFmtId="164" fontId="6" fillId="3" borderId="29" xfId="1" applyNumberFormat="1" applyFont="1" applyFill="1" applyBorder="1" applyProtection="1"/>
    <xf numFmtId="49" fontId="8" fillId="0" borderId="0" xfId="4" applyNumberFormat="1" applyProtection="1">
      <protection locked="0"/>
    </xf>
    <xf numFmtId="0" fontId="12" fillId="0" borderId="5" xfId="0" applyFont="1" applyBorder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3" xfId="0" applyFont="1" applyBorder="1"/>
    <xf numFmtId="0" fontId="9" fillId="0" borderId="5" xfId="0" applyFont="1" applyBorder="1"/>
    <xf numFmtId="0" fontId="14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14" fillId="0" borderId="27" xfId="0" applyFont="1" applyBorder="1" applyAlignment="1">
      <alignment horizontal="right"/>
    </xf>
    <xf numFmtId="0" fontId="14" fillId="0" borderId="28" xfId="0" applyFont="1" applyBorder="1" applyAlignment="1">
      <alignment horizontal="right"/>
    </xf>
    <xf numFmtId="0" fontId="9" fillId="0" borderId="7" xfId="0" applyFont="1" applyBorder="1"/>
    <xf numFmtId="0" fontId="9" fillId="0" borderId="8" xfId="0" applyFont="1" applyBorder="1"/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49" fontId="28" fillId="0" borderId="6" xfId="0" applyNumberFormat="1" applyFont="1" applyBorder="1" applyAlignment="1">
      <alignment horizontal="left" wrapText="1"/>
    </xf>
    <xf numFmtId="0" fontId="28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9" fillId="0" borderId="2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5" fillId="0" borderId="21" xfId="0" applyFont="1" applyBorder="1"/>
    <xf numFmtId="0" fontId="19" fillId="6" borderId="7" xfId="0" applyFont="1" applyFill="1" applyBorder="1"/>
    <xf numFmtId="0" fontId="30" fillId="6" borderId="5" xfId="0" applyFont="1" applyFill="1" applyBorder="1" applyAlignment="1">
      <alignment horizontal="right"/>
    </xf>
    <xf numFmtId="0" fontId="5" fillId="0" borderId="0" xfId="0" applyFont="1" applyBorder="1"/>
    <xf numFmtId="164" fontId="5" fillId="3" borderId="22" xfId="1" applyNumberFormat="1" applyFont="1" applyFill="1" applyBorder="1" applyProtection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164" fontId="5" fillId="2" borderId="4" xfId="1" applyNumberFormat="1" applyFont="1" applyFill="1" applyBorder="1" applyProtection="1"/>
    <xf numFmtId="164" fontId="5" fillId="0" borderId="6" xfId="1" applyNumberFormat="1" applyFont="1" applyBorder="1" applyAlignment="1" applyProtection="1">
      <alignment horizontal="center"/>
    </xf>
    <xf numFmtId="44" fontId="5" fillId="8" borderId="24" xfId="1" applyFont="1" applyFill="1" applyBorder="1" applyProtection="1">
      <protection locked="0"/>
    </xf>
    <xf numFmtId="44" fontId="5" fillId="3" borderId="24" xfId="1" applyFont="1" applyFill="1" applyBorder="1" applyProtection="1"/>
    <xf numFmtId="44" fontId="18" fillId="3" borderId="24" xfId="1" applyFont="1" applyFill="1" applyBorder="1" applyProtection="1"/>
    <xf numFmtId="44" fontId="21" fillId="8" borderId="25" xfId="1" applyFont="1" applyFill="1" applyBorder="1" applyProtection="1">
      <protection locked="0"/>
    </xf>
    <xf numFmtId="44" fontId="9" fillId="3" borderId="26" xfId="1" applyFont="1" applyFill="1" applyBorder="1" applyProtection="1"/>
    <xf numFmtId="164" fontId="5" fillId="0" borderId="6" xfId="1" applyNumberFormat="1" applyFont="1" applyFill="1" applyBorder="1" applyAlignment="1" applyProtection="1">
      <alignment horizontal="center"/>
    </xf>
    <xf numFmtId="44" fontId="5" fillId="8" borderId="30" xfId="1" applyFont="1" applyFill="1" applyBorder="1" applyProtection="1">
      <protection locked="0"/>
    </xf>
    <xf numFmtId="44" fontId="9" fillId="3" borderId="24" xfId="0" applyNumberFormat="1" applyFont="1" applyFill="1" applyBorder="1"/>
    <xf numFmtId="44" fontId="9" fillId="3" borderId="25" xfId="1" applyFont="1" applyFill="1" applyBorder="1" applyProtection="1"/>
    <xf numFmtId="0" fontId="22" fillId="0" borderId="0" xfId="0" applyFont="1" applyBorder="1" applyAlignment="1">
      <alignment horizontal="right"/>
    </xf>
    <xf numFmtId="1" fontId="5" fillId="8" borderId="0" xfId="0" applyNumberFormat="1" applyFont="1" applyFill="1" applyBorder="1" applyAlignment="1" applyProtection="1">
      <alignment horizontal="right"/>
      <protection locked="0"/>
    </xf>
    <xf numFmtId="164" fontId="5" fillId="8" borderId="0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4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5" fillId="0" borderId="0" xfId="0" applyFont="1" applyBorder="1"/>
    <xf numFmtId="164" fontId="5" fillId="8" borderId="0" xfId="0" applyNumberFormat="1" applyFont="1" applyFill="1" applyBorder="1" applyProtection="1">
      <protection locked="0"/>
    </xf>
    <xf numFmtId="164" fontId="5" fillId="0" borderId="0" xfId="0" applyNumberFormat="1" applyFont="1" applyBorder="1"/>
    <xf numFmtId="164" fontId="19" fillId="6" borderId="0" xfId="0" applyNumberFormat="1" applyFont="1" applyFill="1" applyBorder="1"/>
    <xf numFmtId="0" fontId="20" fillId="6" borderId="0" xfId="0" applyFont="1" applyFill="1" applyBorder="1"/>
    <xf numFmtId="164" fontId="20" fillId="6" borderId="0" xfId="0" applyNumberFormat="1" applyFont="1" applyFill="1" applyBorder="1"/>
    <xf numFmtId="49" fontId="5" fillId="8" borderId="0" xfId="0" applyNumberFormat="1" applyFont="1" applyFill="1" applyBorder="1" applyProtection="1">
      <protection locked="0"/>
    </xf>
    <xf numFmtId="10" fontId="24" fillId="8" borderId="0" xfId="0" applyNumberFormat="1" applyFont="1" applyFill="1" applyBorder="1" applyProtection="1">
      <protection locked="0"/>
    </xf>
    <xf numFmtId="0" fontId="6" fillId="0" borderId="6" xfId="0" applyFont="1" applyBorder="1" applyAlignment="1">
      <alignment horizontal="center"/>
    </xf>
    <xf numFmtId="0" fontId="5" fillId="8" borderId="24" xfId="0" applyFont="1" applyFill="1" applyBorder="1" applyProtection="1">
      <protection locked="0"/>
    </xf>
    <xf numFmtId="0" fontId="5" fillId="3" borderId="24" xfId="0" applyFont="1" applyFill="1" applyBorder="1"/>
    <xf numFmtId="44" fontId="18" fillId="3" borderId="6" xfId="1" applyFont="1" applyFill="1" applyBorder="1"/>
    <xf numFmtId="44" fontId="4" fillId="0" borderId="6" xfId="1" applyFont="1" applyFill="1" applyBorder="1"/>
    <xf numFmtId="0" fontId="5" fillId="3" borderId="7" xfId="0" applyFont="1" applyFill="1" applyBorder="1"/>
    <xf numFmtId="164" fontId="5" fillId="3" borderId="8" xfId="1" applyNumberFormat="1" applyFont="1" applyFill="1" applyBorder="1"/>
    <xf numFmtId="0" fontId="31" fillId="6" borderId="5" xfId="0" applyFont="1" applyFill="1" applyBorder="1" applyAlignment="1">
      <alignment horizontal="right"/>
    </xf>
    <xf numFmtId="0" fontId="22" fillId="0" borderId="5" xfId="0" applyFont="1" applyBorder="1" applyAlignment="1">
      <alignment horizontal="right"/>
    </xf>
    <xf numFmtId="0" fontId="11" fillId="0" borderId="0" xfId="0" applyFont="1" applyBorder="1"/>
    <xf numFmtId="9" fontId="5" fillId="3" borderId="0" xfId="2" applyFont="1" applyFill="1" applyBorder="1"/>
    <xf numFmtId="164" fontId="5" fillId="2" borderId="4" xfId="1" applyNumberFormat="1" applyFont="1" applyFill="1" applyBorder="1"/>
    <xf numFmtId="164" fontId="5" fillId="0" borderId="24" xfId="1" applyNumberFormat="1" applyFont="1" applyBorder="1" applyAlignment="1">
      <alignment horizontal="center"/>
    </xf>
    <xf numFmtId="0" fontId="5" fillId="8" borderId="0" xfId="0" applyFont="1" applyFill="1" applyBorder="1" applyProtection="1">
      <protection locked="0"/>
    </xf>
    <xf numFmtId="164" fontId="5" fillId="3" borderId="24" xfId="1" applyNumberFormat="1" applyFont="1" applyFill="1" applyBorder="1"/>
    <xf numFmtId="164" fontId="9" fillId="3" borderId="24" xfId="1" applyNumberFormat="1" applyFont="1" applyFill="1" applyBorder="1"/>
    <xf numFmtId="164" fontId="5" fillId="0" borderId="31" xfId="1" applyNumberFormat="1" applyFont="1" applyBorder="1"/>
    <xf numFmtId="164" fontId="5" fillId="8" borderId="24" xfId="1" applyNumberFormat="1" applyFont="1" applyFill="1" applyBorder="1" applyProtection="1">
      <protection locked="0"/>
    </xf>
    <xf numFmtId="164" fontId="9" fillId="3" borderId="24" xfId="1" applyNumberFormat="1" applyFont="1" applyFill="1" applyBorder="1" applyProtection="1"/>
    <xf numFmtId="164" fontId="9" fillId="0" borderId="6" xfId="1" applyNumberFormat="1" applyFont="1" applyFill="1" applyBorder="1" applyProtection="1"/>
    <xf numFmtId="164" fontId="5" fillId="3" borderId="24" xfId="1" applyNumberFormat="1" applyFont="1" applyFill="1" applyBorder="1" applyProtection="1"/>
    <xf numFmtId="164" fontId="9" fillId="3" borderId="6" xfId="1" applyNumberFormat="1" applyFont="1" applyFill="1" applyBorder="1"/>
    <xf numFmtId="164" fontId="5" fillId="3" borderId="6" xfId="0" applyNumberFormat="1" applyFont="1" applyFill="1" applyBorder="1"/>
    <xf numFmtId="164" fontId="9" fillId="0" borderId="11" xfId="0" applyNumberFormat="1" applyFont="1" applyFill="1" applyBorder="1"/>
    <xf numFmtId="166" fontId="9" fillId="8" borderId="6" xfId="3" applyNumberFormat="1" applyFont="1" applyFill="1" applyBorder="1" applyProtection="1">
      <protection locked="0"/>
    </xf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0AB00"/>
      <color rgb="FFF39E1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irs.gov/credits-deductions/individuals/earned-income-tax-credit/use-the-eitc-assistant" TargetMode="External"/><Relationship Id="rId7" Type="http://schemas.openxmlformats.org/officeDocument/2006/relationships/hyperlink" Target="https://www.huduser.gov/portal/datasets/fmr.html" TargetMode="External"/><Relationship Id="rId2" Type="http://schemas.openxmlformats.org/officeDocument/2006/relationships/hyperlink" Target="https://files.hudexchange.info/resources/documents/IncomeResidentRentCalc.pdf" TargetMode="External"/><Relationship Id="rId1" Type="http://schemas.openxmlformats.org/officeDocument/2006/relationships/hyperlink" Target="https://www.huduser.gov/portal/datasets/il.html" TargetMode="External"/><Relationship Id="rId6" Type="http://schemas.openxmlformats.org/officeDocument/2006/relationships/hyperlink" Target="https://otda.ny.gov/programs/snap/" TargetMode="External"/><Relationship Id="rId5" Type="http://schemas.openxmlformats.org/officeDocument/2006/relationships/hyperlink" Target="https://www.irs.gov/filing/federal-income-tax-rates-and-brackets" TargetMode="External"/><Relationship Id="rId4" Type="http://schemas.openxmlformats.org/officeDocument/2006/relationships/hyperlink" Target="https://www.tax.ny.gov/pit/file/tax-tables/" TargetMode="External"/><Relationship Id="rId9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workbookViewId="0">
      <selection activeCell="A14" sqref="A14"/>
    </sheetView>
  </sheetViews>
  <sheetFormatPr defaultColWidth="8.88671875" defaultRowHeight="14.4" x14ac:dyDescent="0.3"/>
  <cols>
    <col min="1" max="1" width="85.88671875" customWidth="1"/>
  </cols>
  <sheetData>
    <row r="1" spans="1:3" ht="18" x14ac:dyDescent="0.35">
      <c r="A1" s="89" t="s">
        <v>228</v>
      </c>
      <c r="B1" s="12"/>
      <c r="C1" s="12"/>
    </row>
    <row r="2" spans="1:3" ht="18" x14ac:dyDescent="0.35">
      <c r="A2" s="106" t="s">
        <v>227</v>
      </c>
      <c r="B2" s="12"/>
      <c r="C2" s="12"/>
    </row>
    <row r="3" spans="1:3" ht="18" x14ac:dyDescent="0.35">
      <c r="A3" s="12"/>
      <c r="B3" s="12"/>
      <c r="C3" s="12"/>
    </row>
    <row r="4" spans="1:3" ht="18" x14ac:dyDescent="0.35">
      <c r="A4" s="12" t="s">
        <v>247</v>
      </c>
      <c r="B4" s="12"/>
      <c r="C4" s="12"/>
    </row>
    <row r="5" spans="1:3" ht="18" x14ac:dyDescent="0.35">
      <c r="A5" s="12" t="s">
        <v>230</v>
      </c>
      <c r="B5" s="12"/>
      <c r="C5" s="12"/>
    </row>
    <row r="6" spans="1:3" ht="18" x14ac:dyDescent="0.35">
      <c r="A6" s="12" t="s">
        <v>229</v>
      </c>
      <c r="B6" s="12"/>
      <c r="C6" s="12"/>
    </row>
    <row r="7" spans="1:3" ht="18" x14ac:dyDescent="0.35">
      <c r="A7" s="12" t="s">
        <v>244</v>
      </c>
      <c r="B7" s="12"/>
      <c r="C7" s="12"/>
    </row>
    <row r="8" spans="1:3" ht="18" x14ac:dyDescent="0.35">
      <c r="A8" s="12" t="s">
        <v>245</v>
      </c>
      <c r="B8" s="12"/>
      <c r="C8" s="12"/>
    </row>
    <row r="9" spans="1:3" ht="18" x14ac:dyDescent="0.35">
      <c r="A9" s="12" t="s">
        <v>231</v>
      </c>
      <c r="B9" s="12"/>
      <c r="C9" s="12"/>
    </row>
    <row r="10" spans="1:3" ht="18" x14ac:dyDescent="0.35">
      <c r="A10" s="12" t="s">
        <v>232</v>
      </c>
      <c r="B10" s="12"/>
      <c r="C10" s="12"/>
    </row>
    <row r="11" spans="1:3" ht="31.8" x14ac:dyDescent="0.35">
      <c r="A11" s="104" t="s">
        <v>246</v>
      </c>
      <c r="B11" s="12"/>
      <c r="C11" s="12"/>
    </row>
    <row r="12" spans="1:3" ht="18" x14ac:dyDescent="0.35">
      <c r="A12" s="104"/>
      <c r="B12" s="12"/>
      <c r="C12" s="12"/>
    </row>
    <row r="13" spans="1:3" ht="18" x14ac:dyDescent="0.35">
      <c r="A13" s="12" t="s">
        <v>38</v>
      </c>
      <c r="B13" s="12"/>
      <c r="C13" s="12"/>
    </row>
    <row r="14" spans="1:3" ht="18" x14ac:dyDescent="0.35">
      <c r="A14" s="12"/>
      <c r="B14" s="12"/>
      <c r="C14" s="12"/>
    </row>
    <row r="15" spans="1:3" ht="18" x14ac:dyDescent="0.35">
      <c r="A15" s="104"/>
      <c r="B15" s="12"/>
      <c r="C15" s="12"/>
    </row>
    <row r="16" spans="1:3" ht="18" x14ac:dyDescent="0.35">
      <c r="A16" s="12"/>
      <c r="B16" s="12"/>
      <c r="C16" s="12"/>
    </row>
    <row r="17" spans="1:3" ht="18" x14ac:dyDescent="0.35">
      <c r="A17" s="12"/>
      <c r="B17" s="12"/>
    </row>
    <row r="18" spans="1:3" ht="18" x14ac:dyDescent="0.35">
      <c r="A18" s="12"/>
      <c r="B18" s="12"/>
      <c r="C18" s="12"/>
    </row>
    <row r="19" spans="1:3" ht="18" x14ac:dyDescent="0.35">
      <c r="A19" s="12"/>
      <c r="B19" s="12"/>
    </row>
    <row r="20" spans="1:3" ht="18" x14ac:dyDescent="0.35">
      <c r="A20" s="12"/>
      <c r="B20" s="12"/>
    </row>
    <row r="21" spans="1:3" ht="18" x14ac:dyDescent="0.35">
      <c r="A21" s="12"/>
      <c r="B21" s="12"/>
      <c r="C21" s="12"/>
    </row>
    <row r="22" spans="1:3" ht="18" x14ac:dyDescent="0.35">
      <c r="A22" s="12"/>
      <c r="B22" s="12"/>
      <c r="C22" s="12"/>
    </row>
    <row r="23" spans="1:3" ht="18" x14ac:dyDescent="0.35">
      <c r="A23" s="12"/>
      <c r="B23" s="12"/>
      <c r="C23" s="12"/>
    </row>
    <row r="24" spans="1:3" ht="18" x14ac:dyDescent="0.35">
      <c r="A24" s="12"/>
      <c r="B24" s="12"/>
      <c r="C24" s="12"/>
    </row>
    <row r="25" spans="1:3" ht="18" x14ac:dyDescent="0.35">
      <c r="A25" s="12"/>
    </row>
  </sheetData>
  <sheetProtection algorithmName="SHA-512" hashValue="rTgVPhDPNikEh8L6B86fuZs2YSUw2MVBBS4jGM+a5OCYlFw1drW74xpj5KnYEd7qUCRe/T0rYE+A8e3/Q/MSXw==" saltValue="xqUD/k43dP/FAtmSqg2eLA==" spinCount="100000" sheet="1" objects="1" scenarios="1" selectLockedCells="1"/>
  <pageMargins left="0.7" right="0.7" top="0.75" bottom="0.75" header="0.3" footer="0.3"/>
  <pageSetup orientation="landscape" r:id="rId1"/>
  <customProperties>
    <customPr name="SSC_SHEET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2"/>
  <sheetViews>
    <sheetView workbookViewId="0">
      <pane ySplit="12" topLeftCell="A331" activePane="bottomLeft" state="frozen"/>
      <selection pane="bottomLeft" activeCell="K347" sqref="K347"/>
    </sheetView>
  </sheetViews>
  <sheetFormatPr defaultColWidth="8.88671875" defaultRowHeight="14.4" x14ac:dyDescent="0.3"/>
  <cols>
    <col min="1" max="1" width="28.109375" bestFit="1" customWidth="1"/>
    <col min="2" max="2" width="10.44140625" bestFit="1" customWidth="1"/>
    <col min="3" max="3" width="10.33203125" bestFit="1" customWidth="1"/>
    <col min="5" max="5" width="10.6640625" bestFit="1" customWidth="1"/>
    <col min="6" max="6" width="10.33203125" bestFit="1" customWidth="1"/>
    <col min="7" max="7" width="12" style="7" bestFit="1" customWidth="1"/>
    <col min="8" max="9" width="10.44140625" bestFit="1" customWidth="1"/>
    <col min="10" max="10" width="12.109375" bestFit="1" customWidth="1"/>
    <col min="11" max="11" width="12.44140625" bestFit="1" customWidth="1"/>
    <col min="13" max="13" width="12.44140625" bestFit="1" customWidth="1"/>
  </cols>
  <sheetData>
    <row r="1" spans="1:11" x14ac:dyDescent="0.3">
      <c r="K1" s="7"/>
    </row>
    <row r="2" spans="1:11" x14ac:dyDescent="0.3">
      <c r="K2" s="7"/>
    </row>
    <row r="3" spans="1:11" x14ac:dyDescent="0.3">
      <c r="K3" s="7"/>
    </row>
    <row r="4" spans="1:11" x14ac:dyDescent="0.3">
      <c r="B4" t="s">
        <v>204</v>
      </c>
      <c r="C4" t="s">
        <v>205</v>
      </c>
      <c r="K4" s="7"/>
    </row>
    <row r="5" spans="1:11" x14ac:dyDescent="0.3">
      <c r="A5" t="s">
        <v>77</v>
      </c>
      <c r="B5" s="1">
        <f>'Own (House)'!C29</f>
        <v>368000</v>
      </c>
      <c r="C5" s="1">
        <f>'Own (Co-Op, Condo)'!C15</f>
        <v>200000</v>
      </c>
      <c r="K5" s="7"/>
    </row>
    <row r="6" spans="1:11" x14ac:dyDescent="0.3">
      <c r="A6" t="s">
        <v>78</v>
      </c>
      <c r="B6" s="14">
        <f>'Own (House)'!B30</f>
        <v>7.0000000000000007E-2</v>
      </c>
      <c r="C6" s="14">
        <f>'Own (Co-Op, Condo)'!B19</f>
        <v>0.06</v>
      </c>
      <c r="K6" s="7"/>
    </row>
    <row r="7" spans="1:11" x14ac:dyDescent="0.3">
      <c r="A7" t="s">
        <v>79</v>
      </c>
      <c r="B7">
        <v>30</v>
      </c>
      <c r="C7">
        <v>30</v>
      </c>
      <c r="E7" s="15" t="s">
        <v>80</v>
      </c>
      <c r="F7" s="15" t="s">
        <v>81</v>
      </c>
      <c r="G7" s="16" t="s">
        <v>82</v>
      </c>
      <c r="H7" s="15" t="s">
        <v>83</v>
      </c>
      <c r="I7" s="15" t="s">
        <v>84</v>
      </c>
      <c r="J7" s="15" t="s">
        <v>85</v>
      </c>
      <c r="K7" s="16" t="s">
        <v>86</v>
      </c>
    </row>
    <row r="8" spans="1:11" x14ac:dyDescent="0.3">
      <c r="A8" t="s">
        <v>87</v>
      </c>
      <c r="B8">
        <v>12</v>
      </c>
      <c r="C8">
        <v>12</v>
      </c>
      <c r="E8" s="17">
        <f ca="1">NOW()</f>
        <v>46009.674228935182</v>
      </c>
      <c r="F8">
        <v>1</v>
      </c>
      <c r="G8" s="7">
        <f>IF($B$10&lt;K8+(K8*($B$6/$B$8)),$B$10,K8+(K8*($B$6/$B$8)))</f>
        <v>2448.3131822593941</v>
      </c>
      <c r="H8" s="18">
        <f>K8*$B$6/$B$8</f>
        <v>2146.666666666667</v>
      </c>
      <c r="I8" s="18">
        <f>G8-H8</f>
        <v>301.64651559272716</v>
      </c>
      <c r="J8" s="7">
        <f>'Own (House)'!C31/Mortgage!B8</f>
        <v>666.66666666666663</v>
      </c>
      <c r="K8" s="7">
        <f>B5</f>
        <v>368000</v>
      </c>
    </row>
    <row r="9" spans="1:11" x14ac:dyDescent="0.3">
      <c r="A9" t="s">
        <v>91</v>
      </c>
      <c r="B9">
        <f>B7*B8</f>
        <v>360</v>
      </c>
      <c r="C9">
        <f>C7*C8</f>
        <v>360</v>
      </c>
      <c r="E9" s="17">
        <v>44866</v>
      </c>
      <c r="F9">
        <v>2</v>
      </c>
      <c r="G9" s="7">
        <f>IF($B$10&lt;K9+(K9*($B$6/$B$8)),$B$10,K9+(K9*($B$6/$B$8)))</f>
        <v>2448.3131822593941</v>
      </c>
      <c r="H9" s="18">
        <f>K9*$B$6/$B$8</f>
        <v>2144.9070619923764</v>
      </c>
      <c r="I9" s="18">
        <f>G9-H9</f>
        <v>303.40612026701774</v>
      </c>
      <c r="J9" s="7">
        <v>0</v>
      </c>
      <c r="K9" s="7">
        <f>K8-I8</f>
        <v>367698.3534844073</v>
      </c>
    </row>
    <row r="10" spans="1:11" x14ac:dyDescent="0.3">
      <c r="A10" t="s">
        <v>88</v>
      </c>
      <c r="B10" s="7">
        <f>-PMT(B6/B8,B9,B5,0)</f>
        <v>2448.3131822593941</v>
      </c>
      <c r="C10" s="7">
        <f>-PMT(C6/C8,C9,C5,0)</f>
        <v>1199.1010503055047</v>
      </c>
      <c r="E10" s="17">
        <v>44896</v>
      </c>
      <c r="F10">
        <v>3</v>
      </c>
      <c r="G10" s="7">
        <f t="shared" ref="G10:G73" si="0">IF($B$10&lt;K10+(K10*($B$6/$B$8)),$B$10,K10+(K10*($B$6/$B$8)))</f>
        <v>2448.3131822593941</v>
      </c>
      <c r="H10" s="18">
        <f t="shared" ref="H10:H73" si="1">K10*$B$6/$B$8</f>
        <v>2143.1371929574852</v>
      </c>
      <c r="I10" s="18">
        <f t="shared" ref="I10:I73" si="2">G10-H10</f>
        <v>305.17598930190888</v>
      </c>
      <c r="J10" s="7">
        <v>0</v>
      </c>
      <c r="K10" s="7">
        <f t="shared" ref="K10:K73" si="3">K9-I9</f>
        <v>367394.9473641403</v>
      </c>
    </row>
    <row r="11" spans="1:11" x14ac:dyDescent="0.3">
      <c r="A11" t="s">
        <v>89</v>
      </c>
      <c r="B11" s="19">
        <f>B10*B9</f>
        <v>881392.74561338185</v>
      </c>
      <c r="C11" s="19">
        <f>C10*C9</f>
        <v>431676.37810998171</v>
      </c>
      <c r="E11" s="17">
        <v>44927</v>
      </c>
      <c r="F11">
        <v>4</v>
      </c>
      <c r="G11" s="7">
        <f t="shared" si="0"/>
        <v>2448.3131822593941</v>
      </c>
      <c r="H11" s="18">
        <f t="shared" si="1"/>
        <v>2141.3569996865576</v>
      </c>
      <c r="I11" s="18">
        <f t="shared" si="2"/>
        <v>306.9561825728365</v>
      </c>
      <c r="J11" s="7">
        <v>0</v>
      </c>
      <c r="K11" s="7">
        <f t="shared" si="3"/>
        <v>367089.77137483837</v>
      </c>
    </row>
    <row r="12" spans="1:11" x14ac:dyDescent="0.3">
      <c r="A12" t="s">
        <v>90</v>
      </c>
      <c r="B12" s="19">
        <f>B11-B5</f>
        <v>513392.74561338185</v>
      </c>
      <c r="C12" s="19">
        <f>C11-C5</f>
        <v>231676.37810998171</v>
      </c>
      <c r="E12" s="17">
        <v>44958</v>
      </c>
      <c r="F12">
        <v>5</v>
      </c>
      <c r="G12" s="7">
        <f t="shared" si="0"/>
        <v>2448.3131822593941</v>
      </c>
      <c r="H12" s="18">
        <f t="shared" si="1"/>
        <v>2139.5664219548826</v>
      </c>
      <c r="I12" s="18">
        <f t="shared" si="2"/>
        <v>308.74676030451155</v>
      </c>
      <c r="J12" s="7">
        <v>0</v>
      </c>
      <c r="K12" s="7">
        <f t="shared" si="3"/>
        <v>366782.81519226555</v>
      </c>
    </row>
    <row r="13" spans="1:11" x14ac:dyDescent="0.3">
      <c r="E13" s="17">
        <v>44986</v>
      </c>
      <c r="F13">
        <v>6</v>
      </c>
      <c r="G13" s="7">
        <f t="shared" si="0"/>
        <v>2448.3131822593941</v>
      </c>
      <c r="H13" s="18">
        <f t="shared" si="1"/>
        <v>2137.7653991864395</v>
      </c>
      <c r="I13" s="18">
        <f t="shared" si="2"/>
        <v>310.54778307295464</v>
      </c>
      <c r="J13" s="7">
        <v>0</v>
      </c>
      <c r="K13" s="7">
        <f t="shared" si="3"/>
        <v>366474.06843196106</v>
      </c>
    </row>
    <row r="14" spans="1:11" x14ac:dyDescent="0.3">
      <c r="E14" s="17">
        <v>45017</v>
      </c>
      <c r="F14">
        <v>7</v>
      </c>
      <c r="G14" s="7">
        <f t="shared" si="0"/>
        <v>2448.3131822593941</v>
      </c>
      <c r="H14" s="18">
        <f t="shared" si="1"/>
        <v>2135.9538704518473</v>
      </c>
      <c r="I14" s="18">
        <f t="shared" si="2"/>
        <v>312.35931180754687</v>
      </c>
      <c r="J14" s="7">
        <v>0</v>
      </c>
      <c r="K14" s="7">
        <f t="shared" si="3"/>
        <v>366163.52064888808</v>
      </c>
    </row>
    <row r="15" spans="1:11" x14ac:dyDescent="0.3">
      <c r="E15" s="17">
        <v>45047</v>
      </c>
      <c r="F15">
        <v>8</v>
      </c>
      <c r="G15" s="7">
        <f t="shared" si="0"/>
        <v>2448.3131822593941</v>
      </c>
      <c r="H15" s="18">
        <f t="shared" si="1"/>
        <v>2134.1317744663033</v>
      </c>
      <c r="I15" s="18">
        <f t="shared" si="2"/>
        <v>314.18140779309078</v>
      </c>
      <c r="J15" s="7">
        <v>0</v>
      </c>
      <c r="K15" s="7">
        <f t="shared" si="3"/>
        <v>365851.16133708053</v>
      </c>
    </row>
    <row r="16" spans="1:11" x14ac:dyDescent="0.3">
      <c r="E16" s="17">
        <v>45078</v>
      </c>
      <c r="F16">
        <v>9</v>
      </c>
      <c r="G16" s="7">
        <f t="shared" si="0"/>
        <v>2448.3131822593941</v>
      </c>
      <c r="H16" s="18">
        <f t="shared" si="1"/>
        <v>2132.2990495875106</v>
      </c>
      <c r="I16" s="18">
        <f t="shared" si="2"/>
        <v>316.01413267188354</v>
      </c>
      <c r="J16" s="7">
        <v>0</v>
      </c>
      <c r="K16" s="7">
        <f t="shared" si="3"/>
        <v>365536.97992928745</v>
      </c>
    </row>
    <row r="17" spans="5:11" x14ac:dyDescent="0.3">
      <c r="E17" s="17">
        <v>45108</v>
      </c>
      <c r="F17">
        <v>10</v>
      </c>
      <c r="G17" s="7">
        <f t="shared" si="0"/>
        <v>2448.3131822593941</v>
      </c>
      <c r="H17" s="18">
        <f t="shared" si="1"/>
        <v>2130.4556338135912</v>
      </c>
      <c r="I17" s="18">
        <f t="shared" si="2"/>
        <v>317.85754844580288</v>
      </c>
      <c r="J17" s="7">
        <v>0</v>
      </c>
      <c r="K17" s="7">
        <f t="shared" si="3"/>
        <v>365220.96579661558</v>
      </c>
    </row>
    <row r="18" spans="5:11" x14ac:dyDescent="0.3">
      <c r="E18" s="17">
        <v>45139</v>
      </c>
      <c r="F18">
        <v>11</v>
      </c>
      <c r="G18" s="7">
        <f t="shared" si="0"/>
        <v>2448.3131822593941</v>
      </c>
      <c r="H18" s="18">
        <f t="shared" si="1"/>
        <v>2128.6014647809902</v>
      </c>
      <c r="I18" s="18">
        <f t="shared" si="2"/>
        <v>319.7117174784039</v>
      </c>
      <c r="J18" s="7">
        <v>0</v>
      </c>
      <c r="K18" s="7">
        <f t="shared" si="3"/>
        <v>364903.10824816977</v>
      </c>
    </row>
    <row r="19" spans="5:11" x14ac:dyDescent="0.3">
      <c r="E19" s="17">
        <v>45170</v>
      </c>
      <c r="F19">
        <v>12</v>
      </c>
      <c r="G19" s="20">
        <f t="shared" si="0"/>
        <v>2448.3131822593941</v>
      </c>
      <c r="H19" s="18">
        <f t="shared" si="1"/>
        <v>2126.7364797623663</v>
      </c>
      <c r="I19" s="18">
        <f t="shared" si="2"/>
        <v>321.57670249702778</v>
      </c>
      <c r="J19" s="7">
        <v>0</v>
      </c>
      <c r="K19" s="7">
        <f t="shared" si="3"/>
        <v>364583.39653069136</v>
      </c>
    </row>
    <row r="20" spans="5:11" x14ac:dyDescent="0.3">
      <c r="E20" s="17">
        <v>45200</v>
      </c>
      <c r="F20">
        <v>13</v>
      </c>
      <c r="G20" s="7">
        <f t="shared" si="0"/>
        <v>2448.3131822593941</v>
      </c>
      <c r="H20" s="18">
        <f t="shared" si="1"/>
        <v>2124.8606156644669</v>
      </c>
      <c r="I20" s="18">
        <f t="shared" si="2"/>
        <v>323.45256659492725</v>
      </c>
      <c r="J20" s="7">
        <v>0</v>
      </c>
      <c r="K20" s="7">
        <f t="shared" si="3"/>
        <v>364261.81982819433</v>
      </c>
    </row>
    <row r="21" spans="5:11" x14ac:dyDescent="0.3">
      <c r="E21" s="17">
        <v>45231</v>
      </c>
      <c r="F21">
        <v>14</v>
      </c>
      <c r="G21" s="7">
        <f t="shared" si="0"/>
        <v>2448.3131822593941</v>
      </c>
      <c r="H21" s="18">
        <f t="shared" si="1"/>
        <v>2122.9738090259966</v>
      </c>
      <c r="I21" s="18">
        <f t="shared" si="2"/>
        <v>325.33937323339751</v>
      </c>
      <c r="J21" s="7">
        <v>0</v>
      </c>
      <c r="K21" s="7">
        <f t="shared" si="3"/>
        <v>363938.3672615994</v>
      </c>
    </row>
    <row r="22" spans="5:11" x14ac:dyDescent="0.3">
      <c r="E22" s="17">
        <v>45261</v>
      </c>
      <c r="F22">
        <v>15</v>
      </c>
      <c r="G22" s="7">
        <f t="shared" si="0"/>
        <v>2448.3131822593941</v>
      </c>
      <c r="H22" s="18">
        <f t="shared" si="1"/>
        <v>2121.0759960154687</v>
      </c>
      <c r="I22" s="18">
        <f t="shared" si="2"/>
        <v>327.23718624392541</v>
      </c>
      <c r="J22" s="7">
        <v>0</v>
      </c>
      <c r="K22" s="7">
        <f t="shared" si="3"/>
        <v>363613.02788836602</v>
      </c>
    </row>
    <row r="23" spans="5:11" x14ac:dyDescent="0.3">
      <c r="E23" s="17">
        <v>45292</v>
      </c>
      <c r="F23">
        <v>16</v>
      </c>
      <c r="G23" s="7">
        <f t="shared" si="0"/>
        <v>2448.3131822593941</v>
      </c>
      <c r="H23" s="18">
        <f t="shared" si="1"/>
        <v>2119.1671124290456</v>
      </c>
      <c r="I23" s="18">
        <f t="shared" si="2"/>
        <v>329.14606983034855</v>
      </c>
      <c r="J23" s="7">
        <v>0</v>
      </c>
      <c r="K23" s="7">
        <f t="shared" si="3"/>
        <v>363285.79070212209</v>
      </c>
    </row>
    <row r="24" spans="5:11" x14ac:dyDescent="0.3">
      <c r="E24" s="17">
        <v>45323</v>
      </c>
      <c r="F24">
        <v>17</v>
      </c>
      <c r="G24" s="7">
        <f t="shared" si="0"/>
        <v>2448.3131822593941</v>
      </c>
      <c r="H24" s="18">
        <f t="shared" si="1"/>
        <v>2117.2470936883688</v>
      </c>
      <c r="I24" s="18">
        <f t="shared" si="2"/>
        <v>331.06608857102538</v>
      </c>
      <c r="J24" s="7">
        <v>0</v>
      </c>
      <c r="K24" s="7">
        <f t="shared" si="3"/>
        <v>362956.64463229175</v>
      </c>
    </row>
    <row r="25" spans="5:11" x14ac:dyDescent="0.3">
      <c r="E25" s="17">
        <v>45352</v>
      </c>
      <c r="F25">
        <v>18</v>
      </c>
      <c r="G25" s="7">
        <f t="shared" si="0"/>
        <v>2448.3131822593941</v>
      </c>
      <c r="H25" s="18">
        <f t="shared" si="1"/>
        <v>2115.3158748383707</v>
      </c>
      <c r="I25" s="18">
        <f t="shared" si="2"/>
        <v>332.99730742102338</v>
      </c>
      <c r="J25" s="7">
        <v>0</v>
      </c>
      <c r="K25" s="7">
        <f t="shared" si="3"/>
        <v>362625.57854372071</v>
      </c>
    </row>
    <row r="26" spans="5:11" x14ac:dyDescent="0.3">
      <c r="E26" s="17">
        <v>45383</v>
      </c>
      <c r="F26">
        <v>19</v>
      </c>
      <c r="G26" s="7">
        <f t="shared" si="0"/>
        <v>2448.3131822593941</v>
      </c>
      <c r="H26" s="18">
        <f t="shared" si="1"/>
        <v>2113.3733905450817</v>
      </c>
      <c r="I26" s="18">
        <f t="shared" si="2"/>
        <v>334.93979171431238</v>
      </c>
      <c r="J26" s="7">
        <v>0</v>
      </c>
      <c r="K26" s="7">
        <f t="shared" si="3"/>
        <v>362292.58123629971</v>
      </c>
    </row>
    <row r="27" spans="5:11" x14ac:dyDescent="0.3">
      <c r="E27" s="17">
        <v>45413</v>
      </c>
      <c r="F27">
        <v>20</v>
      </c>
      <c r="G27" s="7">
        <f t="shared" si="0"/>
        <v>2448.3131822593941</v>
      </c>
      <c r="H27" s="18">
        <f t="shared" si="1"/>
        <v>2111.419575093415</v>
      </c>
      <c r="I27" s="18">
        <f t="shared" si="2"/>
        <v>336.89360716597912</v>
      </c>
      <c r="J27" s="7">
        <v>0</v>
      </c>
      <c r="K27" s="7">
        <f t="shared" si="3"/>
        <v>361957.6414445854</v>
      </c>
    </row>
    <row r="28" spans="5:11" x14ac:dyDescent="0.3">
      <c r="E28" s="17">
        <v>45444</v>
      </c>
      <c r="F28">
        <v>21</v>
      </c>
      <c r="G28" s="7">
        <f t="shared" si="0"/>
        <v>2448.3131822593941</v>
      </c>
      <c r="H28" s="18">
        <f t="shared" si="1"/>
        <v>2109.4543623849472</v>
      </c>
      <c r="I28" s="18">
        <f t="shared" si="2"/>
        <v>338.85881987444691</v>
      </c>
      <c r="J28" s="7">
        <v>0</v>
      </c>
      <c r="K28" s="7">
        <f t="shared" si="3"/>
        <v>361620.74783741945</v>
      </c>
    </row>
    <row r="29" spans="5:11" x14ac:dyDescent="0.3">
      <c r="E29" s="17">
        <v>45474</v>
      </c>
      <c r="F29">
        <v>22</v>
      </c>
      <c r="G29" s="7">
        <f t="shared" si="0"/>
        <v>2448.3131822593941</v>
      </c>
      <c r="H29" s="18">
        <f t="shared" si="1"/>
        <v>2107.4776859356793</v>
      </c>
      <c r="I29" s="18">
        <f t="shared" si="2"/>
        <v>340.83549632371478</v>
      </c>
      <c r="J29" s="7">
        <v>0</v>
      </c>
      <c r="K29" s="7">
        <f t="shared" si="3"/>
        <v>361281.88901754498</v>
      </c>
    </row>
    <row r="30" spans="5:11" x14ac:dyDescent="0.3">
      <c r="E30" s="17">
        <v>45505</v>
      </c>
      <c r="F30">
        <v>23</v>
      </c>
      <c r="G30" s="7">
        <f t="shared" si="0"/>
        <v>2448.3131822593941</v>
      </c>
      <c r="H30" s="18">
        <f t="shared" si="1"/>
        <v>2105.4894788737911</v>
      </c>
      <c r="I30" s="18">
        <f t="shared" si="2"/>
        <v>342.82370338560304</v>
      </c>
      <c r="J30" s="7">
        <v>0</v>
      </c>
      <c r="K30" s="7">
        <f t="shared" si="3"/>
        <v>360941.05352122127</v>
      </c>
    </row>
    <row r="31" spans="5:11" x14ac:dyDescent="0.3">
      <c r="E31" s="17">
        <v>45536</v>
      </c>
      <c r="F31">
        <v>24</v>
      </c>
      <c r="G31" s="7">
        <f t="shared" si="0"/>
        <v>2448.3131822593941</v>
      </c>
      <c r="H31" s="18">
        <f t="shared" si="1"/>
        <v>2103.4896739373748</v>
      </c>
      <c r="I31" s="18">
        <f t="shared" si="2"/>
        <v>344.82350832201928</v>
      </c>
      <c r="J31" s="7">
        <v>0</v>
      </c>
      <c r="K31" s="7">
        <f t="shared" si="3"/>
        <v>360598.22981783567</v>
      </c>
    </row>
    <row r="32" spans="5:11" x14ac:dyDescent="0.3">
      <c r="E32" s="17">
        <v>45566</v>
      </c>
      <c r="F32">
        <v>25</v>
      </c>
      <c r="G32" s="7">
        <f t="shared" si="0"/>
        <v>2448.3131822593941</v>
      </c>
      <c r="H32" s="18">
        <f t="shared" si="1"/>
        <v>2101.4782034721634</v>
      </c>
      <c r="I32" s="18">
        <f t="shared" si="2"/>
        <v>346.83497878723074</v>
      </c>
      <c r="J32" s="7">
        <v>0</v>
      </c>
      <c r="K32" s="7">
        <f t="shared" si="3"/>
        <v>360253.40630951367</v>
      </c>
    </row>
    <row r="33" spans="5:11" x14ac:dyDescent="0.3">
      <c r="E33" s="17">
        <v>45597</v>
      </c>
      <c r="F33">
        <v>26</v>
      </c>
      <c r="G33" s="7">
        <f t="shared" si="0"/>
        <v>2448.3131822593941</v>
      </c>
      <c r="H33" s="18">
        <f t="shared" si="1"/>
        <v>2099.4549994292379</v>
      </c>
      <c r="I33" s="18">
        <f t="shared" si="2"/>
        <v>348.85818283015624</v>
      </c>
      <c r="J33" s="7">
        <v>0</v>
      </c>
      <c r="K33" s="7">
        <f t="shared" si="3"/>
        <v>359906.57133072644</v>
      </c>
    </row>
    <row r="34" spans="5:11" x14ac:dyDescent="0.3">
      <c r="E34" s="17">
        <v>45627</v>
      </c>
      <c r="F34">
        <v>27</v>
      </c>
      <c r="G34" s="7">
        <f t="shared" si="0"/>
        <v>2448.3131822593941</v>
      </c>
      <c r="H34" s="18">
        <f t="shared" si="1"/>
        <v>2097.4199933627283</v>
      </c>
      <c r="I34" s="18">
        <f t="shared" si="2"/>
        <v>350.89318889666583</v>
      </c>
      <c r="J34" s="7">
        <v>0</v>
      </c>
      <c r="K34" s="7">
        <f t="shared" si="3"/>
        <v>359557.71314789628</v>
      </c>
    </row>
    <row r="35" spans="5:11" x14ac:dyDescent="0.3">
      <c r="E35" s="17">
        <v>45658</v>
      </c>
      <c r="F35">
        <v>28</v>
      </c>
      <c r="G35" s="7">
        <f t="shared" si="0"/>
        <v>2448.3131822593941</v>
      </c>
      <c r="H35" s="18">
        <f t="shared" si="1"/>
        <v>2095.3731164274982</v>
      </c>
      <c r="I35" s="18">
        <f t="shared" si="2"/>
        <v>352.94006583189594</v>
      </c>
      <c r="J35" s="7">
        <v>0</v>
      </c>
      <c r="K35" s="7">
        <f t="shared" si="3"/>
        <v>359206.81995899964</v>
      </c>
    </row>
    <row r="36" spans="5:11" x14ac:dyDescent="0.3">
      <c r="E36" s="17">
        <v>45689</v>
      </c>
      <c r="F36">
        <v>29</v>
      </c>
      <c r="G36" s="7">
        <f t="shared" si="0"/>
        <v>2448.3131822593941</v>
      </c>
      <c r="H36" s="18">
        <f t="shared" si="1"/>
        <v>2093.314299376812</v>
      </c>
      <c r="I36" s="18">
        <f t="shared" si="2"/>
        <v>354.99888288258217</v>
      </c>
      <c r="J36" s="7">
        <v>0</v>
      </c>
      <c r="K36" s="7">
        <f t="shared" si="3"/>
        <v>358853.87989316776</v>
      </c>
    </row>
    <row r="37" spans="5:11" x14ac:dyDescent="0.3">
      <c r="E37" s="17">
        <v>45717</v>
      </c>
      <c r="F37">
        <v>30</v>
      </c>
      <c r="G37" s="7">
        <f t="shared" si="0"/>
        <v>2448.3131822593941</v>
      </c>
      <c r="H37" s="18">
        <f t="shared" si="1"/>
        <v>2091.2434725599969</v>
      </c>
      <c r="I37" s="18">
        <f t="shared" si="2"/>
        <v>357.06970969939721</v>
      </c>
      <c r="J37" s="7">
        <v>0</v>
      </c>
      <c r="K37" s="7">
        <f t="shared" si="3"/>
        <v>358498.88101028517</v>
      </c>
    </row>
    <row r="38" spans="5:11" x14ac:dyDescent="0.3">
      <c r="E38" s="17">
        <v>45748</v>
      </c>
      <c r="F38">
        <v>31</v>
      </c>
      <c r="G38" s="7">
        <f t="shared" si="0"/>
        <v>2448.3131822593941</v>
      </c>
      <c r="H38" s="18">
        <f t="shared" si="1"/>
        <v>2089.1605659200836</v>
      </c>
      <c r="I38" s="18">
        <f t="shared" si="2"/>
        <v>359.1526163393105</v>
      </c>
      <c r="J38" s="7">
        <v>0</v>
      </c>
      <c r="K38" s="7">
        <f t="shared" si="3"/>
        <v>358141.81130058574</v>
      </c>
    </row>
    <row r="39" spans="5:11" x14ac:dyDescent="0.3">
      <c r="E39" s="17">
        <v>45778</v>
      </c>
      <c r="F39">
        <v>32</v>
      </c>
      <c r="G39" s="7">
        <f t="shared" si="0"/>
        <v>2448.3131822593941</v>
      </c>
      <c r="H39" s="18">
        <f t="shared" si="1"/>
        <v>2087.0655089914376</v>
      </c>
      <c r="I39" s="18">
        <f t="shared" si="2"/>
        <v>361.24767326795654</v>
      </c>
      <c r="J39" s="7">
        <v>0</v>
      </c>
      <c r="K39" s="7">
        <f t="shared" si="3"/>
        <v>357782.65868424642</v>
      </c>
    </row>
    <row r="40" spans="5:11" x14ac:dyDescent="0.3">
      <c r="E40" s="17">
        <v>45809</v>
      </c>
      <c r="F40">
        <v>33</v>
      </c>
      <c r="G40" s="7">
        <f t="shared" si="0"/>
        <v>2448.3131822593941</v>
      </c>
      <c r="H40" s="18">
        <f t="shared" si="1"/>
        <v>2084.9582308973745</v>
      </c>
      <c r="I40" s="18">
        <f t="shared" si="2"/>
        <v>363.35495136201962</v>
      </c>
      <c r="J40" s="7">
        <v>0</v>
      </c>
      <c r="K40" s="7">
        <f t="shared" si="3"/>
        <v>357421.41101097845</v>
      </c>
    </row>
    <row r="41" spans="5:11" x14ac:dyDescent="0.3">
      <c r="E41" s="17">
        <v>45839</v>
      </c>
      <c r="F41">
        <v>34</v>
      </c>
      <c r="G41" s="7">
        <f t="shared" si="0"/>
        <v>2448.3131822593941</v>
      </c>
      <c r="H41" s="18">
        <f t="shared" si="1"/>
        <v>2082.8386603477629</v>
      </c>
      <c r="I41" s="18">
        <f t="shared" si="2"/>
        <v>365.4745219116312</v>
      </c>
      <c r="J41" s="7">
        <v>0</v>
      </c>
      <c r="K41" s="7">
        <f t="shared" si="3"/>
        <v>357058.05605961644</v>
      </c>
    </row>
    <row r="42" spans="5:11" x14ac:dyDescent="0.3">
      <c r="E42" s="17">
        <v>45870</v>
      </c>
      <c r="F42">
        <v>35</v>
      </c>
      <c r="G42" s="7">
        <f t="shared" si="0"/>
        <v>2448.3131822593941</v>
      </c>
      <c r="H42" s="18">
        <f t="shared" si="1"/>
        <v>2080.7067256366113</v>
      </c>
      <c r="I42" s="18">
        <f t="shared" si="2"/>
        <v>367.60645662278284</v>
      </c>
      <c r="J42" s="7">
        <v>0</v>
      </c>
      <c r="K42" s="7">
        <f t="shared" si="3"/>
        <v>356692.5815377048</v>
      </c>
    </row>
    <row r="43" spans="5:11" x14ac:dyDescent="0.3">
      <c r="E43" s="17">
        <v>45901</v>
      </c>
      <c r="F43">
        <v>36</v>
      </c>
      <c r="G43" s="7">
        <f t="shared" si="0"/>
        <v>2448.3131822593941</v>
      </c>
      <c r="H43" s="18">
        <f t="shared" si="1"/>
        <v>2078.5623546396455</v>
      </c>
      <c r="I43" s="18">
        <f t="shared" si="2"/>
        <v>369.75082761974863</v>
      </c>
      <c r="J43" s="7">
        <v>0</v>
      </c>
      <c r="K43" s="7">
        <f t="shared" si="3"/>
        <v>356324.97508108203</v>
      </c>
    </row>
    <row r="44" spans="5:11" x14ac:dyDescent="0.3">
      <c r="E44" s="17">
        <v>45931</v>
      </c>
      <c r="F44">
        <v>37</v>
      </c>
      <c r="G44" s="7">
        <f t="shared" si="0"/>
        <v>2448.3131822593941</v>
      </c>
      <c r="H44" s="18">
        <f t="shared" si="1"/>
        <v>2076.4054748118638</v>
      </c>
      <c r="I44" s="18">
        <f t="shared" si="2"/>
        <v>371.90770744753036</v>
      </c>
      <c r="J44" s="7">
        <v>0</v>
      </c>
      <c r="K44" s="7">
        <f t="shared" si="3"/>
        <v>355955.22425346228</v>
      </c>
    </row>
    <row r="45" spans="5:11" x14ac:dyDescent="0.3">
      <c r="E45" s="17">
        <v>45962</v>
      </c>
      <c r="F45">
        <v>38</v>
      </c>
      <c r="G45" s="7">
        <f t="shared" si="0"/>
        <v>2448.3131822593941</v>
      </c>
      <c r="H45" s="18">
        <f t="shared" si="1"/>
        <v>2074.236013185086</v>
      </c>
      <c r="I45" s="18">
        <f t="shared" si="2"/>
        <v>374.07716907430813</v>
      </c>
      <c r="J45" s="7">
        <v>0</v>
      </c>
      <c r="K45" s="7">
        <f t="shared" si="3"/>
        <v>355583.31654601474</v>
      </c>
    </row>
    <row r="46" spans="5:11" x14ac:dyDescent="0.3">
      <c r="E46" s="17">
        <v>45992</v>
      </c>
      <c r="F46">
        <v>39</v>
      </c>
      <c r="G46" s="7">
        <f t="shared" si="0"/>
        <v>2448.3131822593941</v>
      </c>
      <c r="H46" s="18">
        <f t="shared" si="1"/>
        <v>2072.0538963654858</v>
      </c>
      <c r="I46" s="18">
        <f t="shared" si="2"/>
        <v>376.25928589390833</v>
      </c>
      <c r="J46" s="7">
        <v>0</v>
      </c>
      <c r="K46" s="7">
        <f t="shared" si="3"/>
        <v>355209.23937694042</v>
      </c>
    </row>
    <row r="47" spans="5:11" x14ac:dyDescent="0.3">
      <c r="E47" s="17">
        <v>46023</v>
      </c>
      <c r="F47">
        <v>40</v>
      </c>
      <c r="G47" s="7">
        <f t="shared" si="0"/>
        <v>2448.3131822593941</v>
      </c>
      <c r="H47" s="18">
        <f t="shared" si="1"/>
        <v>2069.8590505311045</v>
      </c>
      <c r="I47" s="18">
        <f t="shared" si="2"/>
        <v>378.45413172828967</v>
      </c>
      <c r="J47" s="7">
        <v>0</v>
      </c>
      <c r="K47" s="7">
        <f t="shared" si="3"/>
        <v>354832.98009104648</v>
      </c>
    </row>
    <row r="48" spans="5:11" x14ac:dyDescent="0.3">
      <c r="E48" s="17">
        <v>46054</v>
      </c>
      <c r="F48">
        <v>41</v>
      </c>
      <c r="G48" s="7">
        <f t="shared" si="0"/>
        <v>2448.3131822593941</v>
      </c>
      <c r="H48" s="18">
        <f t="shared" si="1"/>
        <v>2067.6514014293566</v>
      </c>
      <c r="I48" s="18">
        <f t="shared" si="2"/>
        <v>380.66178083003751</v>
      </c>
      <c r="J48" s="7">
        <v>0</v>
      </c>
      <c r="K48" s="7">
        <f t="shared" si="3"/>
        <v>354454.52595931821</v>
      </c>
    </row>
    <row r="49" spans="5:11" x14ac:dyDescent="0.3">
      <c r="E49" s="17">
        <v>46082</v>
      </c>
      <c r="F49">
        <v>42</v>
      </c>
      <c r="G49" s="7">
        <f t="shared" si="0"/>
        <v>2448.3131822593941</v>
      </c>
      <c r="H49" s="18">
        <f t="shared" si="1"/>
        <v>2065.4308743745146</v>
      </c>
      <c r="I49" s="18">
        <f t="shared" si="2"/>
        <v>382.88230788487954</v>
      </c>
      <c r="J49" s="7">
        <v>0</v>
      </c>
      <c r="K49" s="7">
        <f t="shared" si="3"/>
        <v>354073.86417848815</v>
      </c>
    </row>
    <row r="50" spans="5:11" x14ac:dyDescent="0.3">
      <c r="E50" s="17">
        <v>46113</v>
      </c>
      <c r="F50">
        <v>43</v>
      </c>
      <c r="G50" s="7">
        <f t="shared" si="0"/>
        <v>2448.3131822593941</v>
      </c>
      <c r="H50" s="18">
        <f t="shared" si="1"/>
        <v>2063.1973942451859</v>
      </c>
      <c r="I50" s="18">
        <f t="shared" si="2"/>
        <v>385.11578801420819</v>
      </c>
      <c r="J50" s="7">
        <v>0</v>
      </c>
      <c r="K50" s="7">
        <f t="shared" si="3"/>
        <v>353690.98187060328</v>
      </c>
    </row>
    <row r="51" spans="5:11" x14ac:dyDescent="0.3">
      <c r="E51" s="17">
        <v>46143</v>
      </c>
      <c r="F51">
        <v>44</v>
      </c>
      <c r="G51" s="7">
        <f t="shared" si="0"/>
        <v>2448.3131822593941</v>
      </c>
      <c r="H51" s="18">
        <f t="shared" si="1"/>
        <v>2060.95088548177</v>
      </c>
      <c r="I51" s="18">
        <f t="shared" si="2"/>
        <v>387.36229677762412</v>
      </c>
      <c r="J51" s="7">
        <v>0</v>
      </c>
      <c r="K51" s="7">
        <f t="shared" si="3"/>
        <v>353305.86608258908</v>
      </c>
    </row>
    <row r="52" spans="5:11" x14ac:dyDescent="0.3">
      <c r="E52" s="17">
        <v>46174</v>
      </c>
      <c r="F52">
        <v>45</v>
      </c>
      <c r="G52" s="7">
        <f t="shared" si="0"/>
        <v>2448.3131822593941</v>
      </c>
      <c r="H52" s="18">
        <f t="shared" si="1"/>
        <v>2058.6912720839005</v>
      </c>
      <c r="I52" s="18">
        <f t="shared" si="2"/>
        <v>389.62191017549367</v>
      </c>
      <c r="J52" s="7">
        <v>0</v>
      </c>
      <c r="K52" s="7">
        <f t="shared" si="3"/>
        <v>352918.50378581148</v>
      </c>
    </row>
    <row r="53" spans="5:11" x14ac:dyDescent="0.3">
      <c r="E53" s="17">
        <v>46204</v>
      </c>
      <c r="F53">
        <v>46</v>
      </c>
      <c r="G53" s="7">
        <f t="shared" si="0"/>
        <v>2448.3131822593941</v>
      </c>
      <c r="H53" s="18">
        <f t="shared" si="1"/>
        <v>2056.4184776078769</v>
      </c>
      <c r="I53" s="18">
        <f t="shared" si="2"/>
        <v>391.89470465151726</v>
      </c>
      <c r="J53" s="7">
        <v>0</v>
      </c>
      <c r="K53" s="7">
        <f t="shared" si="3"/>
        <v>352528.881875636</v>
      </c>
    </row>
    <row r="54" spans="5:11" x14ac:dyDescent="0.3">
      <c r="E54" s="17">
        <v>46235</v>
      </c>
      <c r="F54">
        <v>47</v>
      </c>
      <c r="G54" s="7">
        <f t="shared" si="0"/>
        <v>2448.3131822593941</v>
      </c>
      <c r="H54" s="18">
        <f t="shared" si="1"/>
        <v>2054.1324251640767</v>
      </c>
      <c r="I54" s="18">
        <f t="shared" si="2"/>
        <v>394.1807570953174</v>
      </c>
      <c r="J54" s="7">
        <v>0</v>
      </c>
      <c r="K54" s="7">
        <f t="shared" si="3"/>
        <v>352136.9871709845</v>
      </c>
    </row>
    <row r="55" spans="5:11" x14ac:dyDescent="0.3">
      <c r="E55" s="17">
        <v>46266</v>
      </c>
      <c r="F55">
        <v>48</v>
      </c>
      <c r="G55" s="7">
        <f t="shared" si="0"/>
        <v>2448.3131822593941</v>
      </c>
      <c r="H55" s="18">
        <f t="shared" si="1"/>
        <v>2051.8330374143538</v>
      </c>
      <c r="I55" s="18">
        <f t="shared" si="2"/>
        <v>396.48014484504029</v>
      </c>
      <c r="J55" s="7">
        <v>0</v>
      </c>
      <c r="K55" s="7">
        <f t="shared" si="3"/>
        <v>351742.80641388916</v>
      </c>
    </row>
    <row r="56" spans="5:11" x14ac:dyDescent="0.3">
      <c r="E56" s="17">
        <v>46296</v>
      </c>
      <c r="F56">
        <v>49</v>
      </c>
      <c r="G56" s="7">
        <f t="shared" si="0"/>
        <v>2448.3131822593941</v>
      </c>
      <c r="H56" s="18">
        <f t="shared" si="1"/>
        <v>2049.5202365694245</v>
      </c>
      <c r="I56" s="18">
        <f t="shared" si="2"/>
        <v>398.79294568996966</v>
      </c>
      <c r="J56" s="7">
        <v>0</v>
      </c>
      <c r="K56" s="7">
        <f t="shared" si="3"/>
        <v>351346.32626904413</v>
      </c>
    </row>
    <row r="57" spans="5:11" x14ac:dyDescent="0.3">
      <c r="E57" s="17">
        <v>46327</v>
      </c>
      <c r="F57">
        <v>50</v>
      </c>
      <c r="G57" s="7">
        <f t="shared" si="0"/>
        <v>2448.3131822593941</v>
      </c>
      <c r="H57" s="18">
        <f t="shared" si="1"/>
        <v>2047.1939443862327</v>
      </c>
      <c r="I57" s="18">
        <f t="shared" si="2"/>
        <v>401.11923787316141</v>
      </c>
      <c r="J57" s="7">
        <v>0</v>
      </c>
      <c r="K57" s="7">
        <f t="shared" si="3"/>
        <v>350947.53332335415</v>
      </c>
    </row>
    <row r="58" spans="5:11" x14ac:dyDescent="0.3">
      <c r="E58" s="17">
        <v>46357</v>
      </c>
      <c r="F58">
        <v>51</v>
      </c>
      <c r="G58" s="7">
        <f t="shared" si="0"/>
        <v>2448.3131822593941</v>
      </c>
      <c r="H58" s="18">
        <f t="shared" si="1"/>
        <v>2044.854082165306</v>
      </c>
      <c r="I58" s="18">
        <f t="shared" si="2"/>
        <v>403.45910009408817</v>
      </c>
      <c r="J58" s="7">
        <v>0</v>
      </c>
      <c r="K58" s="7">
        <f t="shared" si="3"/>
        <v>350546.41408548097</v>
      </c>
    </row>
    <row r="59" spans="5:11" x14ac:dyDescent="0.3">
      <c r="E59" s="17">
        <v>46388</v>
      </c>
      <c r="F59">
        <v>52</v>
      </c>
      <c r="G59" s="7">
        <f t="shared" si="0"/>
        <v>2448.3131822593941</v>
      </c>
      <c r="H59" s="18">
        <f t="shared" si="1"/>
        <v>2042.5005707480902</v>
      </c>
      <c r="I59" s="18">
        <f t="shared" si="2"/>
        <v>405.81261151130388</v>
      </c>
      <c r="J59" s="7">
        <v>0</v>
      </c>
      <c r="K59" s="7">
        <f t="shared" si="3"/>
        <v>350142.95498538687</v>
      </c>
    </row>
    <row r="60" spans="5:11" x14ac:dyDescent="0.3">
      <c r="E60" s="17">
        <v>46419</v>
      </c>
      <c r="F60">
        <v>53</v>
      </c>
      <c r="G60" s="7">
        <f t="shared" si="0"/>
        <v>2448.3131822593941</v>
      </c>
      <c r="H60" s="18">
        <f t="shared" si="1"/>
        <v>2040.1333305142741</v>
      </c>
      <c r="I60" s="18">
        <f t="shared" si="2"/>
        <v>408.17985174512</v>
      </c>
      <c r="J60" s="7">
        <v>0</v>
      </c>
      <c r="K60" s="7">
        <f t="shared" si="3"/>
        <v>349737.14237387554</v>
      </c>
    </row>
    <row r="61" spans="5:11" x14ac:dyDescent="0.3">
      <c r="E61" s="17">
        <v>46447</v>
      </c>
      <c r="F61">
        <v>54</v>
      </c>
      <c r="G61" s="7">
        <f t="shared" si="0"/>
        <v>2448.3131822593941</v>
      </c>
      <c r="H61" s="18">
        <f t="shared" si="1"/>
        <v>2037.752281379094</v>
      </c>
      <c r="I61" s="18">
        <f t="shared" si="2"/>
        <v>410.5609008803001</v>
      </c>
      <c r="J61" s="7">
        <v>0</v>
      </c>
      <c r="K61" s="7">
        <f t="shared" si="3"/>
        <v>349328.9625221304</v>
      </c>
    </row>
    <row r="62" spans="5:11" x14ac:dyDescent="0.3">
      <c r="E62" s="17">
        <v>46478</v>
      </c>
      <c r="F62">
        <v>55</v>
      </c>
      <c r="G62" s="7">
        <f t="shared" si="0"/>
        <v>2448.3131822593941</v>
      </c>
      <c r="H62" s="18">
        <f t="shared" si="1"/>
        <v>2035.3573427906258</v>
      </c>
      <c r="I62" s="18">
        <f t="shared" si="2"/>
        <v>412.95583946876832</v>
      </c>
      <c r="J62" s="7">
        <v>0</v>
      </c>
      <c r="K62" s="7">
        <f t="shared" si="3"/>
        <v>348918.40162125009</v>
      </c>
    </row>
    <row r="63" spans="5:11" x14ac:dyDescent="0.3">
      <c r="E63" s="17">
        <v>46508</v>
      </c>
      <c r="F63">
        <v>56</v>
      </c>
      <c r="G63" s="7">
        <f t="shared" si="0"/>
        <v>2448.3131822593941</v>
      </c>
      <c r="H63" s="18">
        <f t="shared" si="1"/>
        <v>2032.948433727058</v>
      </c>
      <c r="I63" s="18">
        <f t="shared" si="2"/>
        <v>415.36474853233608</v>
      </c>
      <c r="J63" s="7">
        <v>0</v>
      </c>
      <c r="K63" s="7">
        <f t="shared" si="3"/>
        <v>348505.44578178134</v>
      </c>
    </row>
    <row r="64" spans="5:11" x14ac:dyDescent="0.3">
      <c r="E64" s="17">
        <v>46539</v>
      </c>
      <c r="F64">
        <v>57</v>
      </c>
      <c r="G64" s="7">
        <f t="shared" si="0"/>
        <v>2448.3131822593941</v>
      </c>
      <c r="H64" s="18">
        <f t="shared" si="1"/>
        <v>2030.5254726939527</v>
      </c>
      <c r="I64" s="18">
        <f t="shared" si="2"/>
        <v>417.78770956544145</v>
      </c>
      <c r="J64" s="7">
        <v>0</v>
      </c>
      <c r="K64" s="7">
        <f t="shared" si="3"/>
        <v>348090.08103324898</v>
      </c>
    </row>
    <row r="65" spans="5:11" x14ac:dyDescent="0.3">
      <c r="E65" s="17">
        <v>46569</v>
      </c>
      <c r="F65">
        <v>58</v>
      </c>
      <c r="G65" s="7">
        <f t="shared" si="0"/>
        <v>2448.3131822593941</v>
      </c>
      <c r="H65" s="18">
        <f t="shared" si="1"/>
        <v>2028.0883777214876</v>
      </c>
      <c r="I65" s="18">
        <f t="shared" si="2"/>
        <v>420.22480453790649</v>
      </c>
      <c r="J65" s="7">
        <v>0</v>
      </c>
      <c r="K65" s="7">
        <f t="shared" si="3"/>
        <v>347672.29332368355</v>
      </c>
    </row>
    <row r="66" spans="5:11" x14ac:dyDescent="0.3">
      <c r="E66" s="17">
        <v>46600</v>
      </c>
      <c r="F66">
        <v>59</v>
      </c>
      <c r="G66" s="7">
        <f t="shared" si="0"/>
        <v>2448.3131822593941</v>
      </c>
      <c r="H66" s="18">
        <f t="shared" si="1"/>
        <v>2025.6370663616833</v>
      </c>
      <c r="I66" s="18">
        <f t="shared" si="2"/>
        <v>422.67611589771082</v>
      </c>
      <c r="J66" s="7">
        <v>0</v>
      </c>
      <c r="K66" s="7">
        <f t="shared" si="3"/>
        <v>347252.06851914566</v>
      </c>
    </row>
    <row r="67" spans="5:11" x14ac:dyDescent="0.3">
      <c r="E67" s="17">
        <v>46631</v>
      </c>
      <c r="F67">
        <v>60</v>
      </c>
      <c r="G67" s="7">
        <f t="shared" si="0"/>
        <v>2448.3131822593941</v>
      </c>
      <c r="H67" s="18">
        <f t="shared" si="1"/>
        <v>2023.1714556856132</v>
      </c>
      <c r="I67" s="18">
        <f t="shared" si="2"/>
        <v>425.14172657378094</v>
      </c>
      <c r="J67" s="7">
        <v>0</v>
      </c>
      <c r="K67" s="7">
        <f t="shared" si="3"/>
        <v>346829.39240324794</v>
      </c>
    </row>
    <row r="68" spans="5:11" x14ac:dyDescent="0.3">
      <c r="E68" s="17">
        <v>46661</v>
      </c>
      <c r="F68">
        <v>61</v>
      </c>
      <c r="G68" s="7">
        <f t="shared" si="0"/>
        <v>2448.3131822593941</v>
      </c>
      <c r="H68" s="18">
        <f t="shared" si="1"/>
        <v>2020.6914622805996</v>
      </c>
      <c r="I68" s="18">
        <f t="shared" si="2"/>
        <v>427.62171997879454</v>
      </c>
      <c r="J68" s="7">
        <v>0</v>
      </c>
      <c r="K68" s="7">
        <f t="shared" si="3"/>
        <v>346404.25067667419</v>
      </c>
    </row>
    <row r="69" spans="5:11" x14ac:dyDescent="0.3">
      <c r="E69" s="17">
        <v>46692</v>
      </c>
      <c r="F69">
        <v>62</v>
      </c>
      <c r="G69" s="7">
        <f t="shared" si="0"/>
        <v>2448.3131822593941</v>
      </c>
      <c r="H69" s="18">
        <f t="shared" si="1"/>
        <v>2018.1970022473899</v>
      </c>
      <c r="I69" s="18">
        <f t="shared" si="2"/>
        <v>430.11618001200418</v>
      </c>
      <c r="J69" s="7">
        <v>0</v>
      </c>
      <c r="K69" s="7">
        <f t="shared" si="3"/>
        <v>345976.62895669538</v>
      </c>
    </row>
    <row r="70" spans="5:11" x14ac:dyDescent="0.3">
      <c r="E70" s="17">
        <v>46722</v>
      </c>
      <c r="F70">
        <v>63</v>
      </c>
      <c r="G70" s="7">
        <f t="shared" si="0"/>
        <v>2448.3131822593941</v>
      </c>
      <c r="H70" s="18">
        <f t="shared" si="1"/>
        <v>2015.6879911973199</v>
      </c>
      <c r="I70" s="18">
        <f t="shared" si="2"/>
        <v>432.62519106207424</v>
      </c>
      <c r="J70" s="7">
        <v>0</v>
      </c>
      <c r="K70" s="7">
        <f t="shared" si="3"/>
        <v>345546.51277668338</v>
      </c>
    </row>
    <row r="71" spans="5:11" x14ac:dyDescent="0.3">
      <c r="E71" s="17">
        <v>46753</v>
      </c>
      <c r="F71">
        <v>64</v>
      </c>
      <c r="G71" s="7">
        <f t="shared" si="0"/>
        <v>2448.3131822593941</v>
      </c>
      <c r="H71" s="18">
        <f t="shared" si="1"/>
        <v>2013.1643442494578</v>
      </c>
      <c r="I71" s="18">
        <f t="shared" si="2"/>
        <v>435.1488380099363</v>
      </c>
      <c r="J71" s="7">
        <v>0</v>
      </c>
      <c r="K71" s="7">
        <f t="shared" si="3"/>
        <v>345113.88758562133</v>
      </c>
    </row>
    <row r="72" spans="5:11" x14ac:dyDescent="0.3">
      <c r="E72" s="17">
        <v>46784</v>
      </c>
      <c r="F72">
        <v>65</v>
      </c>
      <c r="G72" s="7">
        <f t="shared" si="0"/>
        <v>2448.3131822593941</v>
      </c>
      <c r="H72" s="18">
        <f t="shared" si="1"/>
        <v>2010.6259760277335</v>
      </c>
      <c r="I72" s="18">
        <f t="shared" si="2"/>
        <v>437.68720623166064</v>
      </c>
      <c r="J72" s="7">
        <v>0</v>
      </c>
      <c r="K72" s="7">
        <f t="shared" si="3"/>
        <v>344678.73874761141</v>
      </c>
    </row>
    <row r="73" spans="5:11" x14ac:dyDescent="0.3">
      <c r="E73" s="17">
        <v>46813</v>
      </c>
      <c r="F73">
        <v>66</v>
      </c>
      <c r="G73" s="7">
        <f t="shared" si="0"/>
        <v>2448.3131822593941</v>
      </c>
      <c r="H73" s="18">
        <f t="shared" si="1"/>
        <v>2008.0728006580487</v>
      </c>
      <c r="I73" s="18">
        <f t="shared" si="2"/>
        <v>440.24038160134546</v>
      </c>
      <c r="J73" s="7">
        <v>0</v>
      </c>
      <c r="K73" s="7">
        <f t="shared" si="3"/>
        <v>344241.05154137977</v>
      </c>
    </row>
    <row r="74" spans="5:11" x14ac:dyDescent="0.3">
      <c r="E74" s="17">
        <v>46844</v>
      </c>
      <c r="F74">
        <v>67</v>
      </c>
      <c r="G74" s="7">
        <f t="shared" ref="G74:G137" si="4">IF($B$10&lt;K74+(K74*($B$6/$B$8)),$B$10,K74+(K74*($B$6/$B$8)))</f>
        <v>2448.3131822593941</v>
      </c>
      <c r="H74" s="18">
        <f t="shared" ref="H74:H137" si="5">K74*$B$6/$B$8</f>
        <v>2005.5047317653743</v>
      </c>
      <c r="I74" s="18">
        <f t="shared" ref="I74:I137" si="6">G74-H74</f>
        <v>442.80845049401978</v>
      </c>
      <c r="J74" s="7">
        <v>0</v>
      </c>
      <c r="K74" s="7">
        <f t="shared" ref="K74:K137" si="7">K73-I73</f>
        <v>343800.81115977844</v>
      </c>
    </row>
    <row r="75" spans="5:11" x14ac:dyDescent="0.3">
      <c r="E75" s="17">
        <v>46874</v>
      </c>
      <c r="F75">
        <v>68</v>
      </c>
      <c r="G75" s="7">
        <f t="shared" si="4"/>
        <v>2448.3131822593941</v>
      </c>
      <c r="H75" s="18">
        <f t="shared" si="5"/>
        <v>2002.9216824708262</v>
      </c>
      <c r="I75" s="18">
        <f t="shared" si="6"/>
        <v>445.3914997885679</v>
      </c>
      <c r="J75" s="7">
        <v>0</v>
      </c>
      <c r="K75" s="7">
        <f t="shared" si="7"/>
        <v>343358.00270928442</v>
      </c>
    </row>
    <row r="76" spans="5:11" x14ac:dyDescent="0.3">
      <c r="E76" s="17">
        <v>46905</v>
      </c>
      <c r="F76">
        <v>69</v>
      </c>
      <c r="G76" s="7">
        <f t="shared" si="4"/>
        <v>2448.3131822593941</v>
      </c>
      <c r="H76" s="18">
        <f t="shared" si="5"/>
        <v>2000.3235653887261</v>
      </c>
      <c r="I76" s="18">
        <f t="shared" si="6"/>
        <v>447.98961687066799</v>
      </c>
      <c r="J76" s="7">
        <v>0</v>
      </c>
      <c r="K76" s="7">
        <f t="shared" si="7"/>
        <v>342912.61120949587</v>
      </c>
    </row>
    <row r="77" spans="5:11" x14ac:dyDescent="0.3">
      <c r="E77" s="17">
        <v>46935</v>
      </c>
      <c r="F77">
        <v>70</v>
      </c>
      <c r="G77" s="7">
        <f t="shared" si="4"/>
        <v>2448.3131822593941</v>
      </c>
      <c r="H77" s="18">
        <f t="shared" si="5"/>
        <v>1997.7102926236473</v>
      </c>
      <c r="I77" s="18">
        <f t="shared" si="6"/>
        <v>450.60288963574681</v>
      </c>
      <c r="J77" s="7">
        <v>0</v>
      </c>
      <c r="K77" s="7">
        <f t="shared" si="7"/>
        <v>342464.62159262522</v>
      </c>
    </row>
    <row r="78" spans="5:11" x14ac:dyDescent="0.3">
      <c r="E78" s="17">
        <v>46966</v>
      </c>
      <c r="F78">
        <v>71</v>
      </c>
      <c r="G78" s="7">
        <f t="shared" si="4"/>
        <v>2448.3131822593941</v>
      </c>
      <c r="H78" s="18">
        <f t="shared" si="5"/>
        <v>1995.0817757674386</v>
      </c>
      <c r="I78" s="18">
        <f t="shared" si="6"/>
        <v>453.23140649195557</v>
      </c>
      <c r="J78" s="7">
        <v>0</v>
      </c>
      <c r="K78" s="7">
        <f t="shared" si="7"/>
        <v>342014.01870298944</v>
      </c>
    </row>
    <row r="79" spans="5:11" x14ac:dyDescent="0.3">
      <c r="E79" s="17">
        <v>46997</v>
      </c>
      <c r="F79">
        <v>72</v>
      </c>
      <c r="G79" s="7">
        <f t="shared" si="4"/>
        <v>2448.3131822593941</v>
      </c>
      <c r="H79" s="18">
        <f t="shared" si="5"/>
        <v>1992.4379258962356</v>
      </c>
      <c r="I79" s="18">
        <f t="shared" si="6"/>
        <v>455.87525636315854</v>
      </c>
      <c r="J79" s="7">
        <v>0</v>
      </c>
      <c r="K79" s="7">
        <f t="shared" si="7"/>
        <v>341560.7872964975</v>
      </c>
    </row>
    <row r="80" spans="5:11" x14ac:dyDescent="0.3">
      <c r="E80" s="17">
        <v>47027</v>
      </c>
      <c r="F80">
        <v>73</v>
      </c>
      <c r="G80" s="7">
        <f t="shared" si="4"/>
        <v>2448.3131822593941</v>
      </c>
      <c r="H80" s="18">
        <f t="shared" si="5"/>
        <v>1989.7786535674504</v>
      </c>
      <c r="I80" s="18">
        <f t="shared" si="6"/>
        <v>458.53452869194371</v>
      </c>
      <c r="J80" s="7">
        <v>0</v>
      </c>
      <c r="K80" s="7">
        <f t="shared" si="7"/>
        <v>341104.91204013431</v>
      </c>
    </row>
    <row r="81" spans="5:11" x14ac:dyDescent="0.3">
      <c r="E81" s="17">
        <v>47058</v>
      </c>
      <c r="F81">
        <v>74</v>
      </c>
      <c r="G81" s="7">
        <f t="shared" si="4"/>
        <v>2448.3131822593941</v>
      </c>
      <c r="H81" s="18">
        <f t="shared" si="5"/>
        <v>1987.1038688167473</v>
      </c>
      <c r="I81" s="18">
        <f t="shared" si="6"/>
        <v>461.20931344264682</v>
      </c>
      <c r="J81" s="7">
        <v>0</v>
      </c>
      <c r="K81" s="7">
        <f t="shared" si="7"/>
        <v>340646.37751144235</v>
      </c>
    </row>
    <row r="82" spans="5:11" x14ac:dyDescent="0.3">
      <c r="E82" s="17">
        <v>47088</v>
      </c>
      <c r="F82">
        <v>75</v>
      </c>
      <c r="G82" s="7">
        <f t="shared" si="4"/>
        <v>2448.3131822593941</v>
      </c>
      <c r="H82" s="18">
        <f t="shared" si="5"/>
        <v>1984.4134811549984</v>
      </c>
      <c r="I82" s="18">
        <f t="shared" si="6"/>
        <v>463.89970110439572</v>
      </c>
      <c r="J82" s="7">
        <v>0</v>
      </c>
      <c r="K82" s="7">
        <f t="shared" si="7"/>
        <v>340185.16819799971</v>
      </c>
    </row>
    <row r="83" spans="5:11" x14ac:dyDescent="0.3">
      <c r="E83" s="17">
        <v>47119</v>
      </c>
      <c r="F83">
        <v>76</v>
      </c>
      <c r="G83" s="7">
        <f t="shared" si="4"/>
        <v>2448.3131822593941</v>
      </c>
      <c r="H83" s="18">
        <f t="shared" si="5"/>
        <v>1981.7073995652229</v>
      </c>
      <c r="I83" s="18">
        <f t="shared" si="6"/>
        <v>466.60578269417124</v>
      </c>
      <c r="J83" s="7">
        <v>0</v>
      </c>
      <c r="K83" s="7">
        <f t="shared" si="7"/>
        <v>339721.26849689533</v>
      </c>
    </row>
    <row r="84" spans="5:11" x14ac:dyDescent="0.3">
      <c r="E84" s="17">
        <v>47150</v>
      </c>
      <c r="F84">
        <v>77</v>
      </c>
      <c r="G84" s="7">
        <f t="shared" si="4"/>
        <v>2448.3131822593941</v>
      </c>
      <c r="H84" s="18">
        <f t="shared" si="5"/>
        <v>1978.9855324995069</v>
      </c>
      <c r="I84" s="18">
        <f t="shared" si="6"/>
        <v>469.32764975988721</v>
      </c>
      <c r="J84" s="7">
        <v>0</v>
      </c>
      <c r="K84" s="7">
        <f t="shared" si="7"/>
        <v>339254.66271420114</v>
      </c>
    </row>
    <row r="85" spans="5:11" x14ac:dyDescent="0.3">
      <c r="E85" s="17">
        <v>47178</v>
      </c>
      <c r="F85">
        <v>78</v>
      </c>
      <c r="G85" s="7">
        <f t="shared" si="4"/>
        <v>2448.3131822593941</v>
      </c>
      <c r="H85" s="18">
        <f t="shared" si="5"/>
        <v>1976.2477878759075</v>
      </c>
      <c r="I85" s="18">
        <f t="shared" si="6"/>
        <v>472.06539438348659</v>
      </c>
      <c r="J85" s="7">
        <v>0</v>
      </c>
      <c r="K85" s="7">
        <f t="shared" si="7"/>
        <v>338785.33506444126</v>
      </c>
    </row>
    <row r="86" spans="5:11" x14ac:dyDescent="0.3">
      <c r="E86" s="17">
        <v>47209</v>
      </c>
      <c r="F86">
        <v>79</v>
      </c>
      <c r="G86" s="7">
        <f t="shared" si="4"/>
        <v>2448.3131822593941</v>
      </c>
      <c r="H86" s="18">
        <f t="shared" si="5"/>
        <v>1973.4940730753369</v>
      </c>
      <c r="I86" s="18">
        <f t="shared" si="6"/>
        <v>474.8191091840572</v>
      </c>
      <c r="J86" s="7">
        <v>0</v>
      </c>
      <c r="K86" s="7">
        <f t="shared" si="7"/>
        <v>338313.26967005775</v>
      </c>
    </row>
    <row r="87" spans="5:11" x14ac:dyDescent="0.3">
      <c r="E87" s="17">
        <v>47239</v>
      </c>
      <c r="F87">
        <v>80</v>
      </c>
      <c r="G87" s="7">
        <f t="shared" si="4"/>
        <v>2448.3131822593941</v>
      </c>
      <c r="H87" s="18">
        <f t="shared" si="5"/>
        <v>1970.7242949384299</v>
      </c>
      <c r="I87" s="18">
        <f t="shared" si="6"/>
        <v>477.5888873209642</v>
      </c>
      <c r="J87" s="7">
        <v>0</v>
      </c>
      <c r="K87" s="7">
        <f t="shared" si="7"/>
        <v>337838.45056087367</v>
      </c>
    </row>
    <row r="88" spans="5:11" x14ac:dyDescent="0.3">
      <c r="E88" s="17">
        <v>47270</v>
      </c>
      <c r="F88">
        <v>81</v>
      </c>
      <c r="G88" s="7">
        <f t="shared" si="4"/>
        <v>2448.3131822593941</v>
      </c>
      <c r="H88" s="18">
        <f t="shared" si="5"/>
        <v>1967.938359762391</v>
      </c>
      <c r="I88" s="18">
        <f t="shared" si="6"/>
        <v>480.37482249700315</v>
      </c>
      <c r="J88" s="7">
        <v>0</v>
      </c>
      <c r="K88" s="7">
        <f t="shared" si="7"/>
        <v>337360.86167355272</v>
      </c>
    </row>
    <row r="89" spans="5:11" x14ac:dyDescent="0.3">
      <c r="E89" s="17">
        <v>47300</v>
      </c>
      <c r="F89">
        <v>82</v>
      </c>
      <c r="G89" s="7">
        <f t="shared" si="4"/>
        <v>2448.3131822593941</v>
      </c>
      <c r="H89" s="18">
        <f t="shared" si="5"/>
        <v>1965.1361732978251</v>
      </c>
      <c r="I89" s="18">
        <f t="shared" si="6"/>
        <v>483.17700896156907</v>
      </c>
      <c r="J89" s="7">
        <v>0</v>
      </c>
      <c r="K89" s="7">
        <f t="shared" si="7"/>
        <v>336880.4868510557</v>
      </c>
    </row>
    <row r="90" spans="5:11" x14ac:dyDescent="0.3">
      <c r="E90" s="17">
        <v>47331</v>
      </c>
      <c r="F90">
        <v>83</v>
      </c>
      <c r="G90" s="7">
        <f t="shared" si="4"/>
        <v>2448.3131822593941</v>
      </c>
      <c r="H90" s="18">
        <f t="shared" si="5"/>
        <v>1962.3176407455494</v>
      </c>
      <c r="I90" s="18">
        <f t="shared" si="6"/>
        <v>485.99554151384473</v>
      </c>
      <c r="J90" s="7">
        <v>0</v>
      </c>
      <c r="K90" s="7">
        <f t="shared" si="7"/>
        <v>336397.30984209414</v>
      </c>
    </row>
    <row r="91" spans="5:11" x14ac:dyDescent="0.3">
      <c r="E91" s="17">
        <v>47362</v>
      </c>
      <c r="F91">
        <v>84</v>
      </c>
      <c r="G91" s="7">
        <f t="shared" si="4"/>
        <v>2448.3131822593941</v>
      </c>
      <c r="H91" s="18">
        <f t="shared" si="5"/>
        <v>1959.4826667533853</v>
      </c>
      <c r="I91" s="18">
        <f t="shared" si="6"/>
        <v>488.83051550600885</v>
      </c>
      <c r="J91" s="7">
        <v>0</v>
      </c>
      <c r="K91" s="7">
        <f t="shared" si="7"/>
        <v>335911.3143005803</v>
      </c>
    </row>
    <row r="92" spans="5:11" x14ac:dyDescent="0.3">
      <c r="E92" s="17">
        <v>47392</v>
      </c>
      <c r="F92">
        <v>85</v>
      </c>
      <c r="G92" s="7">
        <f t="shared" si="4"/>
        <v>2448.3131822593941</v>
      </c>
      <c r="H92" s="18">
        <f t="shared" si="5"/>
        <v>1956.6311554129334</v>
      </c>
      <c r="I92" s="18">
        <f t="shared" si="6"/>
        <v>491.68202684646076</v>
      </c>
      <c r="J92" s="7">
        <v>0</v>
      </c>
      <c r="K92" s="7">
        <f t="shared" si="7"/>
        <v>335422.48378507426</v>
      </c>
    </row>
    <row r="93" spans="5:11" x14ac:dyDescent="0.3">
      <c r="E93" s="17">
        <v>47423</v>
      </c>
      <c r="F93">
        <v>86</v>
      </c>
      <c r="G93" s="7">
        <f t="shared" si="4"/>
        <v>2448.3131822593941</v>
      </c>
      <c r="H93" s="18">
        <f t="shared" si="5"/>
        <v>1953.7630102563292</v>
      </c>
      <c r="I93" s="18">
        <f t="shared" si="6"/>
        <v>494.55017200306497</v>
      </c>
      <c r="J93" s="7">
        <v>0</v>
      </c>
      <c r="K93" s="7">
        <f t="shared" si="7"/>
        <v>334930.80175822781</v>
      </c>
    </row>
    <row r="94" spans="5:11" x14ac:dyDescent="0.3">
      <c r="E94" s="17">
        <v>47453</v>
      </c>
      <c r="F94">
        <v>87</v>
      </c>
      <c r="G94" s="7">
        <f t="shared" si="4"/>
        <v>2448.3131822593941</v>
      </c>
      <c r="H94" s="18">
        <f t="shared" si="5"/>
        <v>1950.878134252978</v>
      </c>
      <c r="I94" s="18">
        <f t="shared" si="6"/>
        <v>497.43504800641608</v>
      </c>
      <c r="J94" s="7">
        <v>0</v>
      </c>
      <c r="K94" s="7">
        <f t="shared" si="7"/>
        <v>334436.25158622477</v>
      </c>
    </row>
    <row r="95" spans="5:11" x14ac:dyDescent="0.3">
      <c r="E95" s="17">
        <v>47484</v>
      </c>
      <c r="F95">
        <v>88</v>
      </c>
      <c r="G95" s="7">
        <f t="shared" si="4"/>
        <v>2448.3131822593941</v>
      </c>
      <c r="H95" s="18">
        <f t="shared" si="5"/>
        <v>1947.9764298062739</v>
      </c>
      <c r="I95" s="18">
        <f t="shared" si="6"/>
        <v>500.3367524531202</v>
      </c>
      <c r="J95" s="7">
        <v>0</v>
      </c>
      <c r="K95" s="7">
        <f t="shared" si="7"/>
        <v>333938.81653821835</v>
      </c>
    </row>
    <row r="96" spans="5:11" x14ac:dyDescent="0.3">
      <c r="E96" s="17">
        <v>47515</v>
      </c>
      <c r="F96">
        <v>89</v>
      </c>
      <c r="G96" s="7">
        <f t="shared" si="4"/>
        <v>2448.3131822593941</v>
      </c>
      <c r="H96" s="18">
        <f t="shared" si="5"/>
        <v>1945.0577987502975</v>
      </c>
      <c r="I96" s="18">
        <f t="shared" si="6"/>
        <v>503.25538350909665</v>
      </c>
      <c r="J96" s="7">
        <v>0</v>
      </c>
      <c r="K96" s="7">
        <f t="shared" si="7"/>
        <v>333438.47978576523</v>
      </c>
    </row>
    <row r="97" spans="5:11" x14ac:dyDescent="0.3">
      <c r="E97" s="17">
        <v>47543</v>
      </c>
      <c r="F97">
        <v>90</v>
      </c>
      <c r="G97" s="7">
        <f t="shared" si="4"/>
        <v>2448.3131822593941</v>
      </c>
      <c r="H97" s="18">
        <f t="shared" si="5"/>
        <v>1942.1221423464942</v>
      </c>
      <c r="I97" s="18">
        <f t="shared" si="6"/>
        <v>506.1910399128999</v>
      </c>
      <c r="J97" s="7">
        <v>0</v>
      </c>
      <c r="K97" s="7">
        <f t="shared" si="7"/>
        <v>332935.22440225614</v>
      </c>
    </row>
    <row r="98" spans="5:11" x14ac:dyDescent="0.3">
      <c r="E98" s="17">
        <v>47574</v>
      </c>
      <c r="F98">
        <v>91</v>
      </c>
      <c r="G98" s="7">
        <f t="shared" si="4"/>
        <v>2448.3131822593941</v>
      </c>
      <c r="H98" s="18">
        <f t="shared" si="5"/>
        <v>1939.1693612803356</v>
      </c>
      <c r="I98" s="18">
        <f t="shared" si="6"/>
        <v>509.14382097905855</v>
      </c>
      <c r="J98" s="7">
        <v>0</v>
      </c>
      <c r="K98" s="7">
        <f t="shared" si="7"/>
        <v>332429.03336234321</v>
      </c>
    </row>
    <row r="99" spans="5:11" x14ac:dyDescent="0.3">
      <c r="E99" s="17">
        <v>47604</v>
      </c>
      <c r="F99">
        <v>92</v>
      </c>
      <c r="G99" s="7">
        <f t="shared" si="4"/>
        <v>2448.3131822593941</v>
      </c>
      <c r="H99" s="18">
        <f t="shared" si="5"/>
        <v>1936.199355657958</v>
      </c>
      <c r="I99" s="18">
        <f t="shared" si="6"/>
        <v>512.11382660143613</v>
      </c>
      <c r="J99" s="7">
        <v>0</v>
      </c>
      <c r="K99" s="7">
        <f t="shared" si="7"/>
        <v>331919.88954136416</v>
      </c>
    </row>
    <row r="100" spans="5:11" x14ac:dyDescent="0.3">
      <c r="E100" s="17">
        <v>47635</v>
      </c>
      <c r="F100">
        <v>93</v>
      </c>
      <c r="G100" s="7">
        <f t="shared" si="4"/>
        <v>2448.3131822593941</v>
      </c>
      <c r="H100" s="18">
        <f t="shared" si="5"/>
        <v>1933.2120250027829</v>
      </c>
      <c r="I100" s="18">
        <f t="shared" si="6"/>
        <v>515.10115725661126</v>
      </c>
      <c r="J100" s="7">
        <v>0</v>
      </c>
      <c r="K100" s="7">
        <f t="shared" si="7"/>
        <v>331407.77571476274</v>
      </c>
    </row>
    <row r="101" spans="5:11" x14ac:dyDescent="0.3">
      <c r="E101" s="17">
        <v>47665</v>
      </c>
      <c r="F101">
        <v>94</v>
      </c>
      <c r="G101" s="7">
        <f t="shared" si="4"/>
        <v>2448.3131822593941</v>
      </c>
      <c r="H101" s="18">
        <f t="shared" si="5"/>
        <v>1930.2072682521191</v>
      </c>
      <c r="I101" s="18">
        <f t="shared" si="6"/>
        <v>518.10591400727503</v>
      </c>
      <c r="J101" s="7">
        <v>0</v>
      </c>
      <c r="K101" s="7">
        <f t="shared" si="7"/>
        <v>330892.67455750611</v>
      </c>
    </row>
    <row r="102" spans="5:11" x14ac:dyDescent="0.3">
      <c r="E102" s="17">
        <v>47696</v>
      </c>
      <c r="F102">
        <v>95</v>
      </c>
      <c r="G102" s="7">
        <f t="shared" si="4"/>
        <v>2448.3131822593941</v>
      </c>
      <c r="H102" s="18">
        <f t="shared" si="5"/>
        <v>1927.1849837537432</v>
      </c>
      <c r="I102" s="18">
        <f t="shared" si="6"/>
        <v>521.12819850565097</v>
      </c>
      <c r="J102" s="7">
        <v>0</v>
      </c>
      <c r="K102" s="7">
        <f t="shared" si="7"/>
        <v>330374.56864349882</v>
      </c>
    </row>
    <row r="103" spans="5:11" x14ac:dyDescent="0.3">
      <c r="E103" s="17">
        <v>47727</v>
      </c>
      <c r="F103">
        <v>96</v>
      </c>
      <c r="G103" s="7">
        <f t="shared" si="4"/>
        <v>2448.3131822593941</v>
      </c>
      <c r="H103" s="18">
        <f t="shared" si="5"/>
        <v>1924.1450692624603</v>
      </c>
      <c r="I103" s="18">
        <f t="shared" si="6"/>
        <v>524.16811299693381</v>
      </c>
      <c r="J103" s="7">
        <v>0</v>
      </c>
      <c r="K103" s="7">
        <f t="shared" si="7"/>
        <v>329853.44044499315</v>
      </c>
    </row>
    <row r="104" spans="5:11" x14ac:dyDescent="0.3">
      <c r="E104" s="17">
        <v>47757</v>
      </c>
      <c r="F104">
        <v>97</v>
      </c>
      <c r="G104" s="7">
        <f t="shared" si="4"/>
        <v>2448.3131822593941</v>
      </c>
      <c r="H104" s="18">
        <f t="shared" si="5"/>
        <v>1921.0874219366449</v>
      </c>
      <c r="I104" s="18">
        <f t="shared" si="6"/>
        <v>527.22576032274924</v>
      </c>
      <c r="J104" s="7">
        <v>0</v>
      </c>
      <c r="K104" s="7">
        <f t="shared" si="7"/>
        <v>329329.27233199624</v>
      </c>
    </row>
    <row r="105" spans="5:11" x14ac:dyDescent="0.3">
      <c r="E105" s="17">
        <v>47788</v>
      </c>
      <c r="F105">
        <v>98</v>
      </c>
      <c r="G105" s="7">
        <f t="shared" si="4"/>
        <v>2448.3131822593941</v>
      </c>
      <c r="H105" s="18">
        <f t="shared" si="5"/>
        <v>1918.0119383347621</v>
      </c>
      <c r="I105" s="18">
        <f t="shared" si="6"/>
        <v>530.30124392463199</v>
      </c>
      <c r="J105" s="7">
        <v>0</v>
      </c>
      <c r="K105" s="7">
        <f t="shared" si="7"/>
        <v>328802.04657167348</v>
      </c>
    </row>
    <row r="106" spans="5:11" x14ac:dyDescent="0.3">
      <c r="E106" s="17">
        <v>47818</v>
      </c>
      <c r="F106">
        <v>99</v>
      </c>
      <c r="G106" s="7">
        <f t="shared" si="4"/>
        <v>2448.3131822593941</v>
      </c>
      <c r="H106" s="18">
        <f t="shared" si="5"/>
        <v>1914.9185144118683</v>
      </c>
      <c r="I106" s="18">
        <f t="shared" si="6"/>
        <v>533.39466784752585</v>
      </c>
      <c r="J106" s="7">
        <v>0</v>
      </c>
      <c r="K106" s="7">
        <f t="shared" si="7"/>
        <v>328271.74532774882</v>
      </c>
    </row>
    <row r="107" spans="5:11" x14ac:dyDescent="0.3">
      <c r="E107" s="17">
        <v>47849</v>
      </c>
      <c r="F107">
        <v>100</v>
      </c>
      <c r="G107" s="7">
        <f t="shared" si="4"/>
        <v>2448.3131822593941</v>
      </c>
      <c r="H107" s="18">
        <f t="shared" si="5"/>
        <v>1911.8070455160907</v>
      </c>
      <c r="I107" s="18">
        <f t="shared" si="6"/>
        <v>536.50613674330339</v>
      </c>
      <c r="J107" s="7">
        <v>0</v>
      </c>
      <c r="K107" s="7">
        <f t="shared" si="7"/>
        <v>327738.35065990128</v>
      </c>
    </row>
    <row r="108" spans="5:11" x14ac:dyDescent="0.3">
      <c r="E108" s="17">
        <v>47880</v>
      </c>
      <c r="F108">
        <v>101</v>
      </c>
      <c r="G108" s="7">
        <f t="shared" si="4"/>
        <v>2448.3131822593941</v>
      </c>
      <c r="H108" s="18">
        <f t="shared" si="5"/>
        <v>1908.6774263850884</v>
      </c>
      <c r="I108" s="18">
        <f t="shared" si="6"/>
        <v>539.63575587430569</v>
      </c>
      <c r="J108" s="7">
        <v>0</v>
      </c>
      <c r="K108" s="7">
        <f t="shared" si="7"/>
        <v>327201.84452315798</v>
      </c>
    </row>
    <row r="109" spans="5:11" x14ac:dyDescent="0.3">
      <c r="E109" s="17">
        <v>47908</v>
      </c>
      <c r="F109">
        <v>102</v>
      </c>
      <c r="G109" s="7">
        <f t="shared" si="4"/>
        <v>2448.3131822593941</v>
      </c>
      <c r="H109" s="18">
        <f t="shared" si="5"/>
        <v>1905.5295511424881</v>
      </c>
      <c r="I109" s="18">
        <f t="shared" si="6"/>
        <v>542.78363111690601</v>
      </c>
      <c r="J109" s="7">
        <v>0</v>
      </c>
      <c r="K109" s="7">
        <f t="shared" si="7"/>
        <v>326662.20876728365</v>
      </c>
    </row>
    <row r="110" spans="5:11" x14ac:dyDescent="0.3">
      <c r="E110" s="17">
        <v>47939</v>
      </c>
      <c r="F110">
        <v>103</v>
      </c>
      <c r="G110" s="7">
        <f t="shared" si="4"/>
        <v>2448.3131822593941</v>
      </c>
      <c r="H110" s="18">
        <f t="shared" si="5"/>
        <v>1902.3633132943062</v>
      </c>
      <c r="I110" s="18">
        <f t="shared" si="6"/>
        <v>545.94986896508794</v>
      </c>
      <c r="J110" s="7">
        <v>0</v>
      </c>
      <c r="K110" s="7">
        <f t="shared" si="7"/>
        <v>326119.42513616674</v>
      </c>
    </row>
    <row r="111" spans="5:11" x14ac:dyDescent="0.3">
      <c r="E111" s="17">
        <v>47969</v>
      </c>
      <c r="F111">
        <v>104</v>
      </c>
      <c r="G111" s="7">
        <f t="shared" si="4"/>
        <v>2448.3131822593941</v>
      </c>
      <c r="H111" s="18">
        <f t="shared" si="5"/>
        <v>1899.1786057253432</v>
      </c>
      <c r="I111" s="18">
        <f t="shared" si="6"/>
        <v>549.13457653405089</v>
      </c>
      <c r="J111" s="7">
        <v>0</v>
      </c>
      <c r="K111" s="7">
        <f t="shared" si="7"/>
        <v>325573.47526720166</v>
      </c>
    </row>
    <row r="112" spans="5:11" x14ac:dyDescent="0.3">
      <c r="E112" s="17">
        <v>48000</v>
      </c>
      <c r="F112">
        <v>105</v>
      </c>
      <c r="G112" s="7">
        <f t="shared" si="4"/>
        <v>2448.3131822593941</v>
      </c>
      <c r="H112" s="18">
        <f t="shared" si="5"/>
        <v>1895.9753206955613</v>
      </c>
      <c r="I112" s="18">
        <f t="shared" si="6"/>
        <v>552.3378615638328</v>
      </c>
      <c r="J112" s="7">
        <v>0</v>
      </c>
      <c r="K112" s="7">
        <f t="shared" si="7"/>
        <v>325024.34069066762</v>
      </c>
    </row>
    <row r="113" spans="5:11" x14ac:dyDescent="0.3">
      <c r="E113" s="17">
        <v>48030</v>
      </c>
      <c r="F113">
        <v>106</v>
      </c>
      <c r="G113" s="7">
        <f t="shared" si="4"/>
        <v>2448.3131822593941</v>
      </c>
      <c r="H113" s="18">
        <f t="shared" si="5"/>
        <v>1892.7533498364389</v>
      </c>
      <c r="I113" s="18">
        <f t="shared" si="6"/>
        <v>555.5598324229552</v>
      </c>
      <c r="J113" s="7">
        <v>0</v>
      </c>
      <c r="K113" s="7">
        <f t="shared" si="7"/>
        <v>324472.00282910379</v>
      </c>
    </row>
    <row r="114" spans="5:11" x14ac:dyDescent="0.3">
      <c r="E114" s="17">
        <v>48061</v>
      </c>
      <c r="F114">
        <v>107</v>
      </c>
      <c r="G114" s="7">
        <f t="shared" si="4"/>
        <v>2448.3131822593941</v>
      </c>
      <c r="H114" s="18">
        <f t="shared" si="5"/>
        <v>1889.5125841473052</v>
      </c>
      <c r="I114" s="18">
        <f t="shared" si="6"/>
        <v>558.80059811208889</v>
      </c>
      <c r="J114" s="7">
        <v>0</v>
      </c>
      <c r="K114" s="7">
        <f t="shared" si="7"/>
        <v>323916.44299668085</v>
      </c>
    </row>
    <row r="115" spans="5:11" x14ac:dyDescent="0.3">
      <c r="E115" s="17">
        <v>48092</v>
      </c>
      <c r="F115">
        <v>108</v>
      </c>
      <c r="G115" s="7">
        <f t="shared" si="4"/>
        <v>2448.3131822593941</v>
      </c>
      <c r="H115" s="18">
        <f t="shared" si="5"/>
        <v>1886.2529139916512</v>
      </c>
      <c r="I115" s="18">
        <f t="shared" si="6"/>
        <v>562.06026826774291</v>
      </c>
      <c r="J115" s="7">
        <v>0</v>
      </c>
      <c r="K115" s="7">
        <f t="shared" si="7"/>
        <v>323357.64239856874</v>
      </c>
    </row>
    <row r="116" spans="5:11" x14ac:dyDescent="0.3">
      <c r="E116" s="17">
        <v>48122</v>
      </c>
      <c r="F116">
        <v>109</v>
      </c>
      <c r="G116" s="7">
        <f t="shared" si="4"/>
        <v>2448.3131822593941</v>
      </c>
      <c r="H116" s="18">
        <f t="shared" si="5"/>
        <v>1882.9742290934225</v>
      </c>
      <c r="I116" s="18">
        <f t="shared" si="6"/>
        <v>565.33895316597159</v>
      </c>
      <c r="J116" s="7">
        <v>0</v>
      </c>
      <c r="K116" s="7">
        <f t="shared" si="7"/>
        <v>322795.58213030099</v>
      </c>
    </row>
    <row r="117" spans="5:11" x14ac:dyDescent="0.3">
      <c r="E117" s="17">
        <v>48153</v>
      </c>
      <c r="F117">
        <v>110</v>
      </c>
      <c r="G117" s="7">
        <f t="shared" si="4"/>
        <v>2448.3131822593941</v>
      </c>
      <c r="H117" s="18">
        <f t="shared" si="5"/>
        <v>1879.6764185332877</v>
      </c>
      <c r="I117" s="18">
        <f t="shared" si="6"/>
        <v>568.63676372610644</v>
      </c>
      <c r="J117" s="7">
        <v>0</v>
      </c>
      <c r="K117" s="7">
        <f t="shared" si="7"/>
        <v>322230.24317713501</v>
      </c>
    </row>
    <row r="118" spans="5:11" x14ac:dyDescent="0.3">
      <c r="E118" s="17">
        <v>48183</v>
      </c>
      <c r="F118">
        <v>111</v>
      </c>
      <c r="G118" s="7">
        <f t="shared" si="4"/>
        <v>2448.3131822593941</v>
      </c>
      <c r="H118" s="18">
        <f t="shared" si="5"/>
        <v>1876.3593707448854</v>
      </c>
      <c r="I118" s="18">
        <f t="shared" si="6"/>
        <v>571.95381151450874</v>
      </c>
      <c r="J118" s="7">
        <v>0</v>
      </c>
      <c r="K118" s="7">
        <f t="shared" si="7"/>
        <v>321661.60641340888</v>
      </c>
    </row>
    <row r="119" spans="5:11" x14ac:dyDescent="0.3">
      <c r="E119" s="17">
        <v>48214</v>
      </c>
      <c r="F119">
        <v>112</v>
      </c>
      <c r="G119" s="7">
        <f t="shared" si="4"/>
        <v>2448.3131822593941</v>
      </c>
      <c r="H119" s="18">
        <f t="shared" si="5"/>
        <v>1873.0229735110508</v>
      </c>
      <c r="I119" s="18">
        <f t="shared" si="6"/>
        <v>575.29020874834328</v>
      </c>
      <c r="J119" s="7">
        <v>0</v>
      </c>
      <c r="K119" s="7">
        <f t="shared" si="7"/>
        <v>321089.6526018944</v>
      </c>
    </row>
    <row r="120" spans="5:11" x14ac:dyDescent="0.3">
      <c r="E120" s="17">
        <v>48245</v>
      </c>
      <c r="F120">
        <v>113</v>
      </c>
      <c r="G120" s="7">
        <f t="shared" si="4"/>
        <v>2448.3131822593941</v>
      </c>
      <c r="H120" s="18">
        <f t="shared" si="5"/>
        <v>1869.6671139600187</v>
      </c>
      <c r="I120" s="18">
        <f t="shared" si="6"/>
        <v>578.64606829937543</v>
      </c>
      <c r="J120" s="7">
        <v>0</v>
      </c>
      <c r="K120" s="7">
        <f t="shared" si="7"/>
        <v>320514.36239314603</v>
      </c>
    </row>
    <row r="121" spans="5:11" x14ac:dyDescent="0.3">
      <c r="E121" s="17">
        <v>48274</v>
      </c>
      <c r="F121">
        <v>114</v>
      </c>
      <c r="G121" s="7">
        <f t="shared" si="4"/>
        <v>2448.3131822593941</v>
      </c>
      <c r="H121" s="18">
        <f t="shared" si="5"/>
        <v>1866.2916785616055</v>
      </c>
      <c r="I121" s="18">
        <f t="shared" si="6"/>
        <v>582.0215036977886</v>
      </c>
      <c r="J121" s="7">
        <v>0</v>
      </c>
      <c r="K121" s="7">
        <f t="shared" si="7"/>
        <v>319935.71632484667</v>
      </c>
    </row>
    <row r="122" spans="5:11" x14ac:dyDescent="0.3">
      <c r="E122" s="17">
        <v>48305</v>
      </c>
      <c r="F122">
        <v>115</v>
      </c>
      <c r="G122" s="7">
        <f t="shared" si="4"/>
        <v>2448.3131822593941</v>
      </c>
      <c r="H122" s="18">
        <f t="shared" si="5"/>
        <v>1862.8965531233687</v>
      </c>
      <c r="I122" s="18">
        <f t="shared" si="6"/>
        <v>585.41662913602545</v>
      </c>
      <c r="J122" s="7">
        <v>0</v>
      </c>
      <c r="K122" s="7">
        <f t="shared" si="7"/>
        <v>319353.69482114888</v>
      </c>
    </row>
    <row r="123" spans="5:11" x14ac:dyDescent="0.3">
      <c r="E123" s="17">
        <v>48335</v>
      </c>
      <c r="F123">
        <v>116</v>
      </c>
      <c r="G123" s="7">
        <f t="shared" si="4"/>
        <v>2448.3131822593941</v>
      </c>
      <c r="H123" s="18">
        <f t="shared" si="5"/>
        <v>1859.481622786742</v>
      </c>
      <c r="I123" s="18">
        <f t="shared" si="6"/>
        <v>588.83155947265209</v>
      </c>
      <c r="J123" s="7">
        <v>0</v>
      </c>
      <c r="K123" s="7">
        <f t="shared" si="7"/>
        <v>318768.27819201286</v>
      </c>
    </row>
    <row r="124" spans="5:11" x14ac:dyDescent="0.3">
      <c r="E124" s="17">
        <v>48366</v>
      </c>
      <c r="F124">
        <v>117</v>
      </c>
      <c r="G124" s="7">
        <f t="shared" si="4"/>
        <v>2448.3131822593941</v>
      </c>
      <c r="H124" s="18">
        <f t="shared" si="5"/>
        <v>1856.0467720231516</v>
      </c>
      <c r="I124" s="18">
        <f t="shared" si="6"/>
        <v>592.26641023624256</v>
      </c>
      <c r="J124" s="7">
        <v>0</v>
      </c>
      <c r="K124" s="7">
        <f t="shared" si="7"/>
        <v>318179.4466325402</v>
      </c>
    </row>
    <row r="125" spans="5:11" x14ac:dyDescent="0.3">
      <c r="E125" s="17">
        <v>48396</v>
      </c>
      <c r="F125">
        <v>118</v>
      </c>
      <c r="G125" s="7">
        <f t="shared" si="4"/>
        <v>2448.3131822593941</v>
      </c>
      <c r="H125" s="18">
        <f t="shared" si="5"/>
        <v>1852.5918846301065</v>
      </c>
      <c r="I125" s="18">
        <f t="shared" si="6"/>
        <v>595.72129762928762</v>
      </c>
      <c r="J125" s="7">
        <v>0</v>
      </c>
      <c r="K125" s="7">
        <f t="shared" si="7"/>
        <v>317587.18022230396</v>
      </c>
    </row>
    <row r="126" spans="5:11" x14ac:dyDescent="0.3">
      <c r="E126" s="17">
        <v>48427</v>
      </c>
      <c r="F126">
        <v>119</v>
      </c>
      <c r="G126" s="7">
        <f t="shared" si="4"/>
        <v>2448.3131822593941</v>
      </c>
      <c r="H126" s="18">
        <f t="shared" si="5"/>
        <v>1849.116843727269</v>
      </c>
      <c r="I126" s="18">
        <f t="shared" si="6"/>
        <v>599.19633853212508</v>
      </c>
      <c r="J126" s="7">
        <v>0</v>
      </c>
      <c r="K126" s="7">
        <f t="shared" si="7"/>
        <v>316991.45892467466</v>
      </c>
    </row>
    <row r="127" spans="5:11" x14ac:dyDescent="0.3">
      <c r="E127" s="17">
        <v>48458</v>
      </c>
      <c r="F127">
        <v>120</v>
      </c>
      <c r="G127" s="7">
        <f t="shared" si="4"/>
        <v>2448.3131822593941</v>
      </c>
      <c r="H127" s="18">
        <f t="shared" si="5"/>
        <v>1845.6215317524982</v>
      </c>
      <c r="I127" s="18">
        <f t="shared" si="6"/>
        <v>602.69165050689594</v>
      </c>
      <c r="J127" s="7">
        <v>0</v>
      </c>
      <c r="K127" s="7">
        <f t="shared" si="7"/>
        <v>316392.26258614252</v>
      </c>
    </row>
    <row r="128" spans="5:11" x14ac:dyDescent="0.3">
      <c r="E128" s="17">
        <v>48488</v>
      </c>
      <c r="F128">
        <v>121</v>
      </c>
      <c r="G128" s="7">
        <f t="shared" si="4"/>
        <v>2448.3131822593941</v>
      </c>
      <c r="H128" s="18">
        <f t="shared" si="5"/>
        <v>1842.1058304578746</v>
      </c>
      <c r="I128" s="18">
        <f t="shared" si="6"/>
        <v>606.20735180151951</v>
      </c>
      <c r="J128" s="7">
        <v>0</v>
      </c>
      <c r="K128" s="7">
        <f t="shared" si="7"/>
        <v>315789.57093563559</v>
      </c>
    </row>
    <row r="129" spans="5:11" x14ac:dyDescent="0.3">
      <c r="E129" s="17">
        <v>48519</v>
      </c>
      <c r="F129">
        <v>122</v>
      </c>
      <c r="G129" s="7">
        <f t="shared" si="4"/>
        <v>2448.3131822593941</v>
      </c>
      <c r="H129" s="18">
        <f t="shared" si="5"/>
        <v>1838.5696209056989</v>
      </c>
      <c r="I129" s="18">
        <f t="shared" si="6"/>
        <v>609.74356135369521</v>
      </c>
      <c r="J129" s="7">
        <v>0</v>
      </c>
      <c r="K129" s="7">
        <f t="shared" si="7"/>
        <v>315183.36358383409</v>
      </c>
    </row>
    <row r="130" spans="5:11" x14ac:dyDescent="0.3">
      <c r="E130" s="17">
        <v>48549</v>
      </c>
      <c r="F130">
        <v>123</v>
      </c>
      <c r="G130" s="7">
        <f t="shared" si="4"/>
        <v>2448.3131822593941</v>
      </c>
      <c r="H130" s="18">
        <f t="shared" si="5"/>
        <v>1835.0127834644691</v>
      </c>
      <c r="I130" s="18">
        <f t="shared" si="6"/>
        <v>613.30039879492506</v>
      </c>
      <c r="J130" s="7">
        <v>0</v>
      </c>
      <c r="K130" s="7">
        <f t="shared" si="7"/>
        <v>314573.62002248038</v>
      </c>
    </row>
    <row r="131" spans="5:11" x14ac:dyDescent="0.3">
      <c r="E131" s="17">
        <v>48580</v>
      </c>
      <c r="F131">
        <v>124</v>
      </c>
      <c r="G131" s="7">
        <f t="shared" si="4"/>
        <v>2448.3131822593941</v>
      </c>
      <c r="H131" s="18">
        <f t="shared" si="5"/>
        <v>1831.4351978048319</v>
      </c>
      <c r="I131" s="18">
        <f t="shared" si="6"/>
        <v>616.87798445456224</v>
      </c>
      <c r="J131" s="7">
        <v>0</v>
      </c>
      <c r="K131" s="7">
        <f t="shared" si="7"/>
        <v>313960.31962368544</v>
      </c>
    </row>
    <row r="132" spans="5:11" x14ac:dyDescent="0.3">
      <c r="E132" s="17">
        <v>48611</v>
      </c>
      <c r="F132">
        <v>125</v>
      </c>
      <c r="G132" s="7">
        <f t="shared" si="4"/>
        <v>2448.3131822593941</v>
      </c>
      <c r="H132" s="18">
        <f t="shared" si="5"/>
        <v>1827.8367428955137</v>
      </c>
      <c r="I132" s="18">
        <f t="shared" si="6"/>
        <v>620.47643936388044</v>
      </c>
      <c r="J132" s="7">
        <v>0</v>
      </c>
      <c r="K132" s="7">
        <f t="shared" si="7"/>
        <v>313343.44163923088</v>
      </c>
    </row>
    <row r="133" spans="5:11" x14ac:dyDescent="0.3">
      <c r="E133" s="17">
        <v>48639</v>
      </c>
      <c r="F133">
        <v>126</v>
      </c>
      <c r="G133" s="7">
        <f t="shared" si="4"/>
        <v>2448.3131822593941</v>
      </c>
      <c r="H133" s="18">
        <f t="shared" si="5"/>
        <v>1824.2172969992241</v>
      </c>
      <c r="I133" s="18">
        <f t="shared" si="6"/>
        <v>624.09588526017001</v>
      </c>
      <c r="J133" s="7">
        <v>0</v>
      </c>
      <c r="K133" s="7">
        <f t="shared" si="7"/>
        <v>312722.96519986697</v>
      </c>
    </row>
    <row r="134" spans="5:11" x14ac:dyDescent="0.3">
      <c r="E134" s="17">
        <v>48670</v>
      </c>
      <c r="F134">
        <v>127</v>
      </c>
      <c r="G134" s="7">
        <f t="shared" si="4"/>
        <v>2448.3131822593941</v>
      </c>
      <c r="H134" s="18">
        <f t="shared" si="5"/>
        <v>1820.5767376685399</v>
      </c>
      <c r="I134" s="18">
        <f t="shared" si="6"/>
        <v>627.73644459085426</v>
      </c>
      <c r="J134" s="7">
        <v>0</v>
      </c>
      <c r="K134" s="7">
        <f t="shared" si="7"/>
        <v>312098.86931460683</v>
      </c>
    </row>
    <row r="135" spans="5:11" x14ac:dyDescent="0.3">
      <c r="E135" s="17">
        <v>48700</v>
      </c>
      <c r="F135">
        <v>128</v>
      </c>
      <c r="G135" s="7">
        <f t="shared" si="4"/>
        <v>2448.3131822593941</v>
      </c>
      <c r="H135" s="18">
        <f t="shared" si="5"/>
        <v>1816.91494174176</v>
      </c>
      <c r="I135" s="18">
        <f t="shared" si="6"/>
        <v>631.39824051763412</v>
      </c>
      <c r="J135" s="7">
        <v>0</v>
      </c>
      <c r="K135" s="7">
        <f t="shared" si="7"/>
        <v>311471.13287001598</v>
      </c>
    </row>
    <row r="136" spans="5:11" x14ac:dyDescent="0.3">
      <c r="E136" s="17">
        <v>48731</v>
      </c>
      <c r="F136">
        <v>129</v>
      </c>
      <c r="G136" s="7">
        <f t="shared" si="4"/>
        <v>2448.3131822593941</v>
      </c>
      <c r="H136" s="18">
        <f t="shared" si="5"/>
        <v>1813.2317853387403</v>
      </c>
      <c r="I136" s="18">
        <f t="shared" si="6"/>
        <v>635.08139692065379</v>
      </c>
      <c r="J136" s="7">
        <v>0</v>
      </c>
      <c r="K136" s="7">
        <f t="shared" si="7"/>
        <v>310839.73462949833</v>
      </c>
    </row>
    <row r="137" spans="5:11" x14ac:dyDescent="0.3">
      <c r="E137" s="17">
        <v>48761</v>
      </c>
      <c r="F137">
        <v>130</v>
      </c>
      <c r="G137" s="7">
        <f t="shared" si="4"/>
        <v>2448.3131822593941</v>
      </c>
      <c r="H137" s="18">
        <f t="shared" si="5"/>
        <v>1809.5271438567033</v>
      </c>
      <c r="I137" s="18">
        <f t="shared" si="6"/>
        <v>638.78603840269079</v>
      </c>
      <c r="J137" s="7">
        <v>0</v>
      </c>
      <c r="K137" s="7">
        <f t="shared" si="7"/>
        <v>310204.65323257766</v>
      </c>
    </row>
    <row r="138" spans="5:11" x14ac:dyDescent="0.3">
      <c r="E138" s="17">
        <v>48792</v>
      </c>
      <c r="F138">
        <v>131</v>
      </c>
      <c r="G138" s="7">
        <f t="shared" ref="G138:G201" si="8">IF($B$10&lt;K138+(K138*($B$6/$B$8)),$B$10,K138+(K138*($B$6/$B$8)))</f>
        <v>2448.3131822593941</v>
      </c>
      <c r="H138" s="18">
        <f t="shared" ref="H138:H201" si="9">K138*$B$6/$B$8</f>
        <v>1805.8008919660208</v>
      </c>
      <c r="I138" s="18">
        <f t="shared" ref="I138:I201" si="10">G138-H138</f>
        <v>642.51229029337333</v>
      </c>
      <c r="J138" s="7">
        <v>0</v>
      </c>
      <c r="K138" s="7">
        <f t="shared" ref="K138:K201" si="11">K137-I137</f>
        <v>309565.86719417496</v>
      </c>
    </row>
    <row r="139" spans="5:11" x14ac:dyDescent="0.3">
      <c r="E139" s="17">
        <v>48823</v>
      </c>
      <c r="F139">
        <v>132</v>
      </c>
      <c r="G139" s="7">
        <f t="shared" si="8"/>
        <v>2448.3131822593941</v>
      </c>
      <c r="H139" s="18">
        <f t="shared" si="9"/>
        <v>1802.0529036059761</v>
      </c>
      <c r="I139" s="18">
        <f t="shared" si="10"/>
        <v>646.26027865341803</v>
      </c>
      <c r="J139" s="7">
        <v>0</v>
      </c>
      <c r="K139" s="7">
        <f t="shared" si="11"/>
        <v>308923.35490388161</v>
      </c>
    </row>
    <row r="140" spans="5:11" x14ac:dyDescent="0.3">
      <c r="E140" s="17">
        <v>48853</v>
      </c>
      <c r="F140">
        <v>133</v>
      </c>
      <c r="G140" s="7">
        <f t="shared" si="8"/>
        <v>2448.3131822593941</v>
      </c>
      <c r="H140" s="18">
        <f t="shared" si="9"/>
        <v>1798.2830519804982</v>
      </c>
      <c r="I140" s="18">
        <f t="shared" si="10"/>
        <v>650.03013027889597</v>
      </c>
      <c r="J140" s="7">
        <v>0</v>
      </c>
      <c r="K140" s="7">
        <f t="shared" si="11"/>
        <v>308277.0946252282</v>
      </c>
    </row>
    <row r="141" spans="5:11" x14ac:dyDescent="0.3">
      <c r="E141" s="17">
        <v>48884</v>
      </c>
      <c r="F141">
        <v>134</v>
      </c>
      <c r="G141" s="7">
        <f t="shared" si="8"/>
        <v>2448.3131822593941</v>
      </c>
      <c r="H141" s="18">
        <f t="shared" si="9"/>
        <v>1794.4912095538712</v>
      </c>
      <c r="I141" s="18">
        <f t="shared" si="10"/>
        <v>653.82197270552297</v>
      </c>
      <c r="J141" s="7">
        <v>0</v>
      </c>
      <c r="K141" s="7">
        <f t="shared" si="11"/>
        <v>307627.0644949493</v>
      </c>
    </row>
    <row r="142" spans="5:11" x14ac:dyDescent="0.3">
      <c r="E142" s="17">
        <v>48914</v>
      </c>
      <c r="F142">
        <v>135</v>
      </c>
      <c r="G142" s="7">
        <f t="shared" si="8"/>
        <v>2448.3131822593941</v>
      </c>
      <c r="H142" s="18">
        <f t="shared" si="9"/>
        <v>1790.6772480464222</v>
      </c>
      <c r="I142" s="18">
        <f t="shared" si="10"/>
        <v>657.63593421297196</v>
      </c>
      <c r="J142" s="7">
        <v>0</v>
      </c>
      <c r="K142" s="7">
        <f t="shared" si="11"/>
        <v>306973.24252224376</v>
      </c>
    </row>
    <row r="143" spans="5:11" x14ac:dyDescent="0.3">
      <c r="E143" s="17">
        <v>48945</v>
      </c>
      <c r="F143">
        <v>136</v>
      </c>
      <c r="G143" s="7">
        <f t="shared" si="8"/>
        <v>2448.3131822593941</v>
      </c>
      <c r="H143" s="18">
        <f t="shared" si="9"/>
        <v>1786.8410384301799</v>
      </c>
      <c r="I143" s="18">
        <f t="shared" si="10"/>
        <v>661.47214382921425</v>
      </c>
      <c r="J143" s="7">
        <v>0</v>
      </c>
      <c r="K143" s="7">
        <f t="shared" si="11"/>
        <v>306315.60658803082</v>
      </c>
    </row>
    <row r="144" spans="5:11" x14ac:dyDescent="0.3">
      <c r="E144" s="17">
        <v>48976</v>
      </c>
      <c r="F144">
        <v>137</v>
      </c>
      <c r="G144" s="7">
        <f t="shared" si="8"/>
        <v>2448.3131822593941</v>
      </c>
      <c r="H144" s="18">
        <f t="shared" si="9"/>
        <v>1782.9824509245093</v>
      </c>
      <c r="I144" s="18">
        <f t="shared" si="10"/>
        <v>665.33073133488483</v>
      </c>
      <c r="J144" s="7">
        <v>0</v>
      </c>
      <c r="K144" s="7">
        <f t="shared" si="11"/>
        <v>305654.1344442016</v>
      </c>
    </row>
    <row r="145" spans="5:11" x14ac:dyDescent="0.3">
      <c r="E145" s="17">
        <v>49004</v>
      </c>
      <c r="F145">
        <v>138</v>
      </c>
      <c r="G145" s="7">
        <f t="shared" si="8"/>
        <v>2448.3131822593941</v>
      </c>
      <c r="H145" s="18">
        <f t="shared" si="9"/>
        <v>1779.1013549917227</v>
      </c>
      <c r="I145" s="18">
        <f t="shared" si="10"/>
        <v>669.21182726767142</v>
      </c>
      <c r="J145" s="7">
        <v>0</v>
      </c>
      <c r="K145" s="7">
        <f t="shared" si="11"/>
        <v>304988.80371286673</v>
      </c>
    </row>
    <row r="146" spans="5:11" x14ac:dyDescent="0.3">
      <c r="E146" s="17">
        <v>49035</v>
      </c>
      <c r="F146">
        <v>139</v>
      </c>
      <c r="G146" s="7">
        <f t="shared" si="8"/>
        <v>2448.3131822593941</v>
      </c>
      <c r="H146" s="18">
        <f t="shared" si="9"/>
        <v>1775.1976193326616</v>
      </c>
      <c r="I146" s="18">
        <f t="shared" si="10"/>
        <v>673.11556292673254</v>
      </c>
      <c r="J146" s="7">
        <v>0</v>
      </c>
      <c r="K146" s="7">
        <f t="shared" si="11"/>
        <v>304319.59188559907</v>
      </c>
    </row>
    <row r="147" spans="5:11" x14ac:dyDescent="0.3">
      <c r="E147" s="17">
        <v>49065</v>
      </c>
      <c r="F147">
        <v>140</v>
      </c>
      <c r="G147" s="7">
        <f t="shared" si="8"/>
        <v>2448.3131822593941</v>
      </c>
      <c r="H147" s="18">
        <f t="shared" si="9"/>
        <v>1771.2711118822554</v>
      </c>
      <c r="I147" s="18">
        <f t="shared" si="10"/>
        <v>677.04207037713877</v>
      </c>
      <c r="J147" s="7">
        <v>0</v>
      </c>
      <c r="K147" s="7">
        <f t="shared" si="11"/>
        <v>303646.47632267233</v>
      </c>
    </row>
    <row r="148" spans="5:11" x14ac:dyDescent="0.3">
      <c r="E148" s="17">
        <v>49096</v>
      </c>
      <c r="F148">
        <v>141</v>
      </c>
      <c r="G148" s="7">
        <f t="shared" si="8"/>
        <v>2448.3131822593941</v>
      </c>
      <c r="H148" s="18">
        <f t="shared" si="9"/>
        <v>1767.3216998050555</v>
      </c>
      <c r="I148" s="18">
        <f t="shared" si="10"/>
        <v>680.99148245433867</v>
      </c>
      <c r="J148" s="7">
        <v>0</v>
      </c>
      <c r="K148" s="7">
        <f t="shared" si="11"/>
        <v>302969.43425229518</v>
      </c>
    </row>
    <row r="149" spans="5:11" x14ac:dyDescent="0.3">
      <c r="E149" s="17">
        <v>49126</v>
      </c>
      <c r="F149">
        <v>142</v>
      </c>
      <c r="G149" s="7">
        <f t="shared" si="8"/>
        <v>2448.3131822593941</v>
      </c>
      <c r="H149" s="18">
        <f t="shared" si="9"/>
        <v>1763.3492494907384</v>
      </c>
      <c r="I149" s="18">
        <f t="shared" si="10"/>
        <v>684.9639327686557</v>
      </c>
      <c r="J149" s="7">
        <v>0</v>
      </c>
      <c r="K149" s="7">
        <f t="shared" si="11"/>
        <v>302288.44276984083</v>
      </c>
    </row>
    <row r="150" spans="5:11" x14ac:dyDescent="0.3">
      <c r="E150" s="17">
        <v>49157</v>
      </c>
      <c r="F150">
        <v>143</v>
      </c>
      <c r="G150" s="7">
        <f t="shared" si="8"/>
        <v>2448.3131822593941</v>
      </c>
      <c r="H150" s="18">
        <f t="shared" si="9"/>
        <v>1759.3536265495877</v>
      </c>
      <c r="I150" s="18">
        <f t="shared" si="10"/>
        <v>688.95955570980641</v>
      </c>
      <c r="J150" s="7">
        <v>0</v>
      </c>
      <c r="K150" s="7">
        <f t="shared" si="11"/>
        <v>301603.47883707215</v>
      </c>
    </row>
    <row r="151" spans="5:11" x14ac:dyDescent="0.3">
      <c r="E151" s="17">
        <v>49188</v>
      </c>
      <c r="F151">
        <v>144</v>
      </c>
      <c r="G151" s="7">
        <f t="shared" si="8"/>
        <v>2448.3131822593941</v>
      </c>
      <c r="H151" s="18">
        <f t="shared" si="9"/>
        <v>1755.3346958079474</v>
      </c>
      <c r="I151" s="18">
        <f t="shared" si="10"/>
        <v>692.97848645144677</v>
      </c>
      <c r="J151" s="7">
        <v>0</v>
      </c>
      <c r="K151" s="7">
        <f t="shared" si="11"/>
        <v>300914.51928136236</v>
      </c>
    </row>
    <row r="152" spans="5:11" x14ac:dyDescent="0.3">
      <c r="E152" s="17">
        <v>49218</v>
      </c>
      <c r="F152">
        <v>145</v>
      </c>
      <c r="G152" s="7">
        <f t="shared" si="8"/>
        <v>2448.3131822593941</v>
      </c>
      <c r="H152" s="18">
        <f t="shared" si="9"/>
        <v>1751.2923213036472</v>
      </c>
      <c r="I152" s="18">
        <f t="shared" si="10"/>
        <v>697.02086095574691</v>
      </c>
      <c r="J152" s="7">
        <v>0</v>
      </c>
      <c r="K152" s="7">
        <f t="shared" si="11"/>
        <v>300221.54079491092</v>
      </c>
    </row>
    <row r="153" spans="5:11" x14ac:dyDescent="0.3">
      <c r="E153" s="17">
        <v>49249</v>
      </c>
      <c r="F153">
        <v>146</v>
      </c>
      <c r="G153" s="7">
        <f t="shared" si="8"/>
        <v>2448.3131822593941</v>
      </c>
      <c r="H153" s="18">
        <f t="shared" si="9"/>
        <v>1747.2263662814055</v>
      </c>
      <c r="I153" s="18">
        <f t="shared" si="10"/>
        <v>701.08681597798864</v>
      </c>
      <c r="J153" s="7">
        <v>0</v>
      </c>
      <c r="K153" s="7">
        <f t="shared" si="11"/>
        <v>299524.51993395516</v>
      </c>
    </row>
    <row r="154" spans="5:11" x14ac:dyDescent="0.3">
      <c r="E154" s="17">
        <v>49279</v>
      </c>
      <c r="F154">
        <v>147</v>
      </c>
      <c r="G154" s="7">
        <f t="shared" si="8"/>
        <v>2448.3131822593941</v>
      </c>
      <c r="H154" s="18">
        <f t="shared" si="9"/>
        <v>1743.1366931882003</v>
      </c>
      <c r="I154" s="18">
        <f t="shared" si="10"/>
        <v>705.17648907119383</v>
      </c>
      <c r="J154" s="7">
        <v>0</v>
      </c>
      <c r="K154" s="7">
        <f t="shared" si="11"/>
        <v>298823.43311797717</v>
      </c>
    </row>
    <row r="155" spans="5:11" x14ac:dyDescent="0.3">
      <c r="E155" s="17">
        <v>49310</v>
      </c>
      <c r="F155">
        <v>148</v>
      </c>
      <c r="G155" s="7">
        <f t="shared" si="8"/>
        <v>2448.3131822593941</v>
      </c>
      <c r="H155" s="18">
        <f t="shared" si="9"/>
        <v>1739.0231636686183</v>
      </c>
      <c r="I155" s="18">
        <f t="shared" si="10"/>
        <v>709.29001859077584</v>
      </c>
      <c r="J155" s="7">
        <v>0</v>
      </c>
      <c r="K155" s="7">
        <f t="shared" si="11"/>
        <v>298118.25662890595</v>
      </c>
    </row>
    <row r="156" spans="5:11" x14ac:dyDescent="0.3">
      <c r="E156" s="17">
        <v>49341</v>
      </c>
      <c r="F156">
        <v>149</v>
      </c>
      <c r="G156" s="7">
        <f t="shared" si="8"/>
        <v>2448.3131822593941</v>
      </c>
      <c r="H156" s="18">
        <f t="shared" si="9"/>
        <v>1734.8856385601721</v>
      </c>
      <c r="I156" s="18">
        <f t="shared" si="10"/>
        <v>713.42754369922204</v>
      </c>
      <c r="J156" s="7">
        <v>0</v>
      </c>
      <c r="K156" s="7">
        <f t="shared" si="11"/>
        <v>297408.9666103152</v>
      </c>
    </row>
    <row r="157" spans="5:11" x14ac:dyDescent="0.3">
      <c r="E157" s="17">
        <v>49369</v>
      </c>
      <c r="F157">
        <v>150</v>
      </c>
      <c r="G157" s="7">
        <f t="shared" si="8"/>
        <v>2448.3131822593941</v>
      </c>
      <c r="H157" s="18">
        <f t="shared" si="9"/>
        <v>1730.7239778885933</v>
      </c>
      <c r="I157" s="18">
        <f t="shared" si="10"/>
        <v>717.58920437080087</v>
      </c>
      <c r="J157" s="7">
        <v>0</v>
      </c>
      <c r="K157" s="7">
        <f t="shared" si="11"/>
        <v>296695.53906661598</v>
      </c>
    </row>
    <row r="158" spans="5:11" x14ac:dyDescent="0.3">
      <c r="E158" s="17">
        <v>49400</v>
      </c>
      <c r="F158">
        <v>151</v>
      </c>
      <c r="G158" s="7">
        <f t="shared" si="8"/>
        <v>2448.3131822593941</v>
      </c>
      <c r="H158" s="18">
        <f t="shared" si="9"/>
        <v>1726.5380408630972</v>
      </c>
      <c r="I158" s="18">
        <f t="shared" si="10"/>
        <v>721.77514139629693</v>
      </c>
      <c r="J158" s="7">
        <v>0</v>
      </c>
      <c r="K158" s="7">
        <f t="shared" si="11"/>
        <v>295977.94986224518</v>
      </c>
    </row>
    <row r="159" spans="5:11" x14ac:dyDescent="0.3">
      <c r="E159" s="17">
        <v>49430</v>
      </c>
      <c r="F159">
        <v>152</v>
      </c>
      <c r="G159" s="7">
        <f t="shared" si="8"/>
        <v>2448.3131822593941</v>
      </c>
      <c r="H159" s="18">
        <f t="shared" si="9"/>
        <v>1722.3276858716188</v>
      </c>
      <c r="I159" s="18">
        <f t="shared" si="10"/>
        <v>725.98549638777536</v>
      </c>
      <c r="J159" s="7">
        <v>0</v>
      </c>
      <c r="K159" s="7">
        <f t="shared" si="11"/>
        <v>295256.17472084891</v>
      </c>
    </row>
    <row r="160" spans="5:11" x14ac:dyDescent="0.3">
      <c r="E160" s="17">
        <v>49461</v>
      </c>
      <c r="F160">
        <v>153</v>
      </c>
      <c r="G160" s="7">
        <f t="shared" si="8"/>
        <v>2448.3131822593941</v>
      </c>
      <c r="H160" s="18">
        <f t="shared" si="9"/>
        <v>1718.0927704760236</v>
      </c>
      <c r="I160" s="18">
        <f t="shared" si="10"/>
        <v>730.22041178337054</v>
      </c>
      <c r="J160" s="7">
        <v>0</v>
      </c>
      <c r="K160" s="7">
        <f t="shared" si="11"/>
        <v>294530.18922446115</v>
      </c>
    </row>
    <row r="161" spans="5:11" x14ac:dyDescent="0.3">
      <c r="E161" s="17">
        <v>49491</v>
      </c>
      <c r="F161">
        <v>154</v>
      </c>
      <c r="G161" s="7">
        <f t="shared" si="8"/>
        <v>2448.3131822593941</v>
      </c>
      <c r="H161" s="18">
        <f t="shared" si="9"/>
        <v>1713.8331514072872</v>
      </c>
      <c r="I161" s="18">
        <f t="shared" si="10"/>
        <v>734.48003085210689</v>
      </c>
      <c r="J161" s="7">
        <v>0</v>
      </c>
      <c r="K161" s="7">
        <f t="shared" si="11"/>
        <v>293799.96881267778</v>
      </c>
    </row>
    <row r="162" spans="5:11" x14ac:dyDescent="0.3">
      <c r="E162" s="17">
        <v>49522</v>
      </c>
      <c r="F162">
        <v>155</v>
      </c>
      <c r="G162" s="7">
        <f t="shared" si="8"/>
        <v>2448.3131822593941</v>
      </c>
      <c r="H162" s="18">
        <f t="shared" si="9"/>
        <v>1709.5486845606501</v>
      </c>
      <c r="I162" s="18">
        <f t="shared" si="10"/>
        <v>738.76449769874398</v>
      </c>
      <c r="J162" s="7">
        <v>0</v>
      </c>
      <c r="K162" s="7">
        <f t="shared" si="11"/>
        <v>293065.4887818257</v>
      </c>
    </row>
    <row r="163" spans="5:11" x14ac:dyDescent="0.3">
      <c r="E163" s="17">
        <v>49553</v>
      </c>
      <c r="F163">
        <v>156</v>
      </c>
      <c r="G163" s="7">
        <f t="shared" si="8"/>
        <v>2448.3131822593941</v>
      </c>
      <c r="H163" s="18">
        <f t="shared" si="9"/>
        <v>1705.2392249907407</v>
      </c>
      <c r="I163" s="18">
        <f t="shared" si="10"/>
        <v>743.07395726865343</v>
      </c>
      <c r="J163" s="7">
        <v>0</v>
      </c>
      <c r="K163" s="7">
        <f t="shared" si="11"/>
        <v>292326.72428412695</v>
      </c>
    </row>
    <row r="164" spans="5:11" x14ac:dyDescent="0.3">
      <c r="E164" s="17">
        <v>49583</v>
      </c>
      <c r="F164">
        <v>157</v>
      </c>
      <c r="G164" s="7">
        <f t="shared" si="8"/>
        <v>2448.3131822593941</v>
      </c>
      <c r="H164" s="18">
        <f t="shared" si="9"/>
        <v>1700.9046269066732</v>
      </c>
      <c r="I164" s="18">
        <f t="shared" si="10"/>
        <v>747.4085553527209</v>
      </c>
      <c r="J164" s="7">
        <v>0</v>
      </c>
      <c r="K164" s="7">
        <f t="shared" si="11"/>
        <v>291583.65032685827</v>
      </c>
    </row>
    <row r="165" spans="5:11" x14ac:dyDescent="0.3">
      <c r="E165" s="17">
        <v>49614</v>
      </c>
      <c r="F165">
        <v>158</v>
      </c>
      <c r="G165" s="7">
        <f t="shared" si="8"/>
        <v>2448.3131822593941</v>
      </c>
      <c r="H165" s="18">
        <f t="shared" si="9"/>
        <v>1696.5447436671159</v>
      </c>
      <c r="I165" s="18">
        <f t="shared" si="10"/>
        <v>751.76843859227824</v>
      </c>
      <c r="J165" s="7">
        <v>0</v>
      </c>
      <c r="K165" s="7">
        <f t="shared" si="11"/>
        <v>290836.24177150556</v>
      </c>
    </row>
    <row r="166" spans="5:11" x14ac:dyDescent="0.3">
      <c r="E166" s="17">
        <v>49644</v>
      </c>
      <c r="F166">
        <v>159</v>
      </c>
      <c r="G166" s="7">
        <f t="shared" si="8"/>
        <v>2448.3131822593941</v>
      </c>
      <c r="H166" s="18">
        <f t="shared" si="9"/>
        <v>1692.1594277753277</v>
      </c>
      <c r="I166" s="18">
        <f t="shared" si="10"/>
        <v>756.15375448406644</v>
      </c>
      <c r="J166" s="7">
        <v>0</v>
      </c>
      <c r="K166" s="7">
        <f t="shared" si="11"/>
        <v>290084.4733329133</v>
      </c>
    </row>
    <row r="167" spans="5:11" x14ac:dyDescent="0.3">
      <c r="E167" s="17">
        <v>49675</v>
      </c>
      <c r="F167">
        <v>160</v>
      </c>
      <c r="G167" s="7">
        <f t="shared" si="8"/>
        <v>2448.3131822593941</v>
      </c>
      <c r="H167" s="18">
        <f t="shared" si="9"/>
        <v>1687.7485308741707</v>
      </c>
      <c r="I167" s="18">
        <f t="shared" si="10"/>
        <v>760.56465138522344</v>
      </c>
      <c r="J167" s="7">
        <v>0</v>
      </c>
      <c r="K167" s="7">
        <f t="shared" si="11"/>
        <v>289328.31957842922</v>
      </c>
    </row>
    <row r="168" spans="5:11" x14ac:dyDescent="0.3">
      <c r="E168" s="17">
        <v>49706</v>
      </c>
      <c r="F168">
        <v>161</v>
      </c>
      <c r="G168" s="7">
        <f t="shared" si="8"/>
        <v>2448.3131822593941</v>
      </c>
      <c r="H168" s="18">
        <f t="shared" si="9"/>
        <v>1683.31190374109</v>
      </c>
      <c r="I168" s="18">
        <f t="shared" si="10"/>
        <v>765.00127851830416</v>
      </c>
      <c r="J168" s="7">
        <v>0</v>
      </c>
      <c r="K168" s="7">
        <f t="shared" si="11"/>
        <v>288567.75492704398</v>
      </c>
    </row>
    <row r="169" spans="5:11" x14ac:dyDescent="0.3">
      <c r="E169" s="17">
        <v>49735</v>
      </c>
      <c r="F169">
        <v>162</v>
      </c>
      <c r="G169" s="7">
        <f t="shared" si="8"/>
        <v>2448.3131822593941</v>
      </c>
      <c r="H169" s="18">
        <f t="shared" si="9"/>
        <v>1678.8493962830669</v>
      </c>
      <c r="I169" s="18">
        <f t="shared" si="10"/>
        <v>769.46378597632724</v>
      </c>
      <c r="J169" s="7">
        <v>0</v>
      </c>
      <c r="K169" s="7">
        <f t="shared" si="11"/>
        <v>287802.75364852569</v>
      </c>
    </row>
    <row r="170" spans="5:11" x14ac:dyDescent="0.3">
      <c r="E170" s="17">
        <v>49766</v>
      </c>
      <c r="F170">
        <v>163</v>
      </c>
      <c r="G170" s="7">
        <f t="shared" si="8"/>
        <v>2448.3131822593941</v>
      </c>
      <c r="H170" s="18">
        <f t="shared" si="9"/>
        <v>1674.3608575315382</v>
      </c>
      <c r="I170" s="18">
        <f t="shared" si="10"/>
        <v>773.95232472785597</v>
      </c>
      <c r="J170" s="7">
        <v>0</v>
      </c>
      <c r="K170" s="7">
        <f t="shared" si="11"/>
        <v>287033.28986254934</v>
      </c>
    </row>
    <row r="171" spans="5:11" x14ac:dyDescent="0.3">
      <c r="E171" s="17">
        <v>49796</v>
      </c>
      <c r="F171">
        <v>164</v>
      </c>
      <c r="G171" s="7">
        <f t="shared" si="8"/>
        <v>2448.3131822593941</v>
      </c>
      <c r="H171" s="18">
        <f t="shared" si="9"/>
        <v>1669.846135637292</v>
      </c>
      <c r="I171" s="18">
        <f t="shared" si="10"/>
        <v>778.46704662210209</v>
      </c>
      <c r="J171" s="7">
        <v>0</v>
      </c>
      <c r="K171" s="7">
        <f t="shared" si="11"/>
        <v>286259.3375378215</v>
      </c>
    </row>
    <row r="172" spans="5:11" x14ac:dyDescent="0.3">
      <c r="E172" s="17">
        <v>49827</v>
      </c>
      <c r="F172">
        <v>165</v>
      </c>
      <c r="G172" s="7">
        <f t="shared" si="8"/>
        <v>2448.3131822593941</v>
      </c>
      <c r="H172" s="18">
        <f t="shared" si="9"/>
        <v>1665.3050778653298</v>
      </c>
      <c r="I172" s="18">
        <f t="shared" si="10"/>
        <v>783.00810439406428</v>
      </c>
      <c r="J172" s="7">
        <v>0</v>
      </c>
      <c r="K172" s="7">
        <f t="shared" si="11"/>
        <v>285480.87049119937</v>
      </c>
    </row>
    <row r="173" spans="5:11" x14ac:dyDescent="0.3">
      <c r="E173" s="17">
        <v>49857</v>
      </c>
      <c r="F173">
        <v>166</v>
      </c>
      <c r="G173" s="7">
        <f t="shared" si="8"/>
        <v>2448.3131822593941</v>
      </c>
      <c r="H173" s="18">
        <f t="shared" si="9"/>
        <v>1660.7375305896976</v>
      </c>
      <c r="I173" s="18">
        <f t="shared" si="10"/>
        <v>787.57565166969653</v>
      </c>
      <c r="J173" s="7">
        <v>0</v>
      </c>
      <c r="K173" s="7">
        <f t="shared" si="11"/>
        <v>284697.8623868053</v>
      </c>
    </row>
    <row r="174" spans="5:11" x14ac:dyDescent="0.3">
      <c r="E174" s="17">
        <v>49888</v>
      </c>
      <c r="F174">
        <v>167</v>
      </c>
      <c r="G174" s="7">
        <f t="shared" si="8"/>
        <v>2448.3131822593941</v>
      </c>
      <c r="H174" s="18">
        <f t="shared" si="9"/>
        <v>1656.1433392882911</v>
      </c>
      <c r="I174" s="18">
        <f t="shared" si="10"/>
        <v>792.16984297110298</v>
      </c>
      <c r="J174" s="7">
        <v>0</v>
      </c>
      <c r="K174" s="7">
        <f t="shared" si="11"/>
        <v>283910.2867351356</v>
      </c>
    </row>
    <row r="175" spans="5:11" x14ac:dyDescent="0.3">
      <c r="E175" s="17">
        <v>49919</v>
      </c>
      <c r="F175">
        <v>168</v>
      </c>
      <c r="G175" s="7">
        <f t="shared" si="8"/>
        <v>2448.3131822593941</v>
      </c>
      <c r="H175" s="18">
        <f t="shared" si="9"/>
        <v>1651.5223485376264</v>
      </c>
      <c r="I175" s="18">
        <f t="shared" si="10"/>
        <v>796.79083372176774</v>
      </c>
      <c r="J175" s="7">
        <v>0</v>
      </c>
      <c r="K175" s="7">
        <f t="shared" si="11"/>
        <v>283118.11689216451</v>
      </c>
    </row>
    <row r="176" spans="5:11" x14ac:dyDescent="0.3">
      <c r="E176" s="17">
        <v>49949</v>
      </c>
      <c r="F176">
        <v>169</v>
      </c>
      <c r="G176" s="7">
        <f t="shared" si="8"/>
        <v>2448.3131822593941</v>
      </c>
      <c r="H176" s="18">
        <f t="shared" si="9"/>
        <v>1646.8744020075828</v>
      </c>
      <c r="I176" s="18">
        <f t="shared" si="10"/>
        <v>801.43878025181129</v>
      </c>
      <c r="J176" s="7">
        <v>0</v>
      </c>
      <c r="K176" s="7">
        <f t="shared" si="11"/>
        <v>282321.32605844276</v>
      </c>
    </row>
    <row r="177" spans="5:11" x14ac:dyDescent="0.3">
      <c r="E177" s="17">
        <v>49980</v>
      </c>
      <c r="F177">
        <v>170</v>
      </c>
      <c r="G177" s="7">
        <f t="shared" si="8"/>
        <v>2448.3131822593941</v>
      </c>
      <c r="H177" s="18">
        <f t="shared" si="9"/>
        <v>1642.199342456114</v>
      </c>
      <c r="I177" s="18">
        <f t="shared" si="10"/>
        <v>806.11383980328014</v>
      </c>
      <c r="J177" s="7">
        <v>0</v>
      </c>
      <c r="K177" s="7">
        <f t="shared" si="11"/>
        <v>281519.88727819093</v>
      </c>
    </row>
    <row r="178" spans="5:11" x14ac:dyDescent="0.3">
      <c r="E178" s="17">
        <v>50010</v>
      </c>
      <c r="F178">
        <v>171</v>
      </c>
      <c r="G178" s="7">
        <f t="shared" si="8"/>
        <v>2448.3131822593941</v>
      </c>
      <c r="H178" s="18">
        <f t="shared" si="9"/>
        <v>1637.4970117239282</v>
      </c>
      <c r="I178" s="18">
        <f t="shared" si="10"/>
        <v>810.81617053546597</v>
      </c>
      <c r="J178" s="7">
        <v>0</v>
      </c>
      <c r="K178" s="7">
        <f t="shared" si="11"/>
        <v>280713.77343838767</v>
      </c>
    </row>
    <row r="179" spans="5:11" x14ac:dyDescent="0.3">
      <c r="E179" s="17">
        <v>50041</v>
      </c>
      <c r="F179">
        <v>172</v>
      </c>
      <c r="G179" s="7">
        <f t="shared" si="8"/>
        <v>2448.3131822593941</v>
      </c>
      <c r="H179" s="18">
        <f t="shared" si="9"/>
        <v>1632.7672507291381</v>
      </c>
      <c r="I179" s="18">
        <f t="shared" si="10"/>
        <v>815.54593153025598</v>
      </c>
      <c r="J179" s="7">
        <v>0</v>
      </c>
      <c r="K179" s="7">
        <f t="shared" si="11"/>
        <v>279902.95726785221</v>
      </c>
    </row>
    <row r="180" spans="5:11" x14ac:dyDescent="0.3">
      <c r="E180" s="17">
        <v>50072</v>
      </c>
      <c r="F180">
        <v>173</v>
      </c>
      <c r="G180" s="7">
        <f t="shared" si="8"/>
        <v>2448.3131822593941</v>
      </c>
      <c r="H180" s="18">
        <f t="shared" si="9"/>
        <v>1628.0098994618784</v>
      </c>
      <c r="I180" s="18">
        <f t="shared" si="10"/>
        <v>820.30328279751575</v>
      </c>
      <c r="J180" s="7">
        <v>0</v>
      </c>
      <c r="K180" s="7">
        <f t="shared" si="11"/>
        <v>279087.41133632197</v>
      </c>
    </row>
    <row r="181" spans="5:11" x14ac:dyDescent="0.3">
      <c r="E181" s="17">
        <v>50100</v>
      </c>
      <c r="F181">
        <v>174</v>
      </c>
      <c r="G181" s="7">
        <f t="shared" si="8"/>
        <v>2448.3131822593941</v>
      </c>
      <c r="H181" s="18">
        <f t="shared" si="9"/>
        <v>1623.224796978893</v>
      </c>
      <c r="I181" s="18">
        <f t="shared" si="10"/>
        <v>825.08838528050114</v>
      </c>
      <c r="J181" s="7">
        <v>0</v>
      </c>
      <c r="K181" s="7">
        <f t="shared" si="11"/>
        <v>278267.10805352445</v>
      </c>
    </row>
    <row r="182" spans="5:11" x14ac:dyDescent="0.3">
      <c r="E182" s="17">
        <v>50131</v>
      </c>
      <c r="F182">
        <v>175</v>
      </c>
      <c r="G182" s="7">
        <f t="shared" si="8"/>
        <v>2448.3131822593941</v>
      </c>
      <c r="H182" s="18">
        <f t="shared" si="9"/>
        <v>1618.4117813980899</v>
      </c>
      <c r="I182" s="18">
        <f t="shared" si="10"/>
        <v>829.90140086130418</v>
      </c>
      <c r="J182" s="7">
        <v>0</v>
      </c>
      <c r="K182" s="7">
        <f t="shared" si="11"/>
        <v>277442.01966824394</v>
      </c>
    </row>
    <row r="183" spans="5:11" x14ac:dyDescent="0.3">
      <c r="E183" s="17">
        <v>50161</v>
      </c>
      <c r="F183">
        <v>176</v>
      </c>
      <c r="G183" s="7">
        <f t="shared" si="8"/>
        <v>2448.3131822593941</v>
      </c>
      <c r="H183" s="18">
        <f t="shared" si="9"/>
        <v>1613.5706898930655</v>
      </c>
      <c r="I183" s="18">
        <f t="shared" si="10"/>
        <v>834.74249236632863</v>
      </c>
      <c r="J183" s="7">
        <v>0</v>
      </c>
      <c r="K183" s="7">
        <f t="shared" si="11"/>
        <v>276612.11826738261</v>
      </c>
    </row>
    <row r="184" spans="5:11" x14ac:dyDescent="0.3">
      <c r="E184" s="17">
        <v>50192</v>
      </c>
      <c r="F184">
        <v>177</v>
      </c>
      <c r="G184" s="7">
        <f t="shared" si="8"/>
        <v>2448.3131822593941</v>
      </c>
      <c r="H184" s="18">
        <f t="shared" si="9"/>
        <v>1608.7013586875948</v>
      </c>
      <c r="I184" s="18">
        <f t="shared" si="10"/>
        <v>839.61182357179928</v>
      </c>
      <c r="J184" s="7">
        <v>0</v>
      </c>
      <c r="K184" s="7">
        <f t="shared" si="11"/>
        <v>275777.37577501626</v>
      </c>
    </row>
    <row r="185" spans="5:11" x14ac:dyDescent="0.3">
      <c r="E185" s="17">
        <v>50222</v>
      </c>
      <c r="F185">
        <v>178</v>
      </c>
      <c r="G185" s="7">
        <f t="shared" si="8"/>
        <v>2448.3131822593941</v>
      </c>
      <c r="H185" s="18">
        <f t="shared" si="9"/>
        <v>1603.8036230500929</v>
      </c>
      <c r="I185" s="18">
        <f t="shared" si="10"/>
        <v>844.50955920930119</v>
      </c>
      <c r="J185" s="7">
        <v>0</v>
      </c>
      <c r="K185" s="7">
        <f t="shared" si="11"/>
        <v>274937.76395144447</v>
      </c>
    </row>
    <row r="186" spans="5:11" x14ac:dyDescent="0.3">
      <c r="E186" s="17">
        <v>50253</v>
      </c>
      <c r="F186">
        <v>179</v>
      </c>
      <c r="G186" s="7">
        <f t="shared" si="8"/>
        <v>2448.3131822593941</v>
      </c>
      <c r="H186" s="18">
        <f t="shared" si="9"/>
        <v>1598.877317288039</v>
      </c>
      <c r="I186" s="18">
        <f t="shared" si="10"/>
        <v>849.43586497135516</v>
      </c>
      <c r="J186" s="7">
        <v>0</v>
      </c>
      <c r="K186" s="7">
        <f t="shared" si="11"/>
        <v>274093.25439223519</v>
      </c>
    </row>
    <row r="187" spans="5:11" x14ac:dyDescent="0.3">
      <c r="E187" s="17">
        <v>50284</v>
      </c>
      <c r="F187">
        <v>180</v>
      </c>
      <c r="G187" s="7">
        <f t="shared" si="8"/>
        <v>2448.3131822593941</v>
      </c>
      <c r="H187" s="18">
        <f t="shared" si="9"/>
        <v>1593.9222747423726</v>
      </c>
      <c r="I187" s="18">
        <f t="shared" si="10"/>
        <v>854.39090751702156</v>
      </c>
      <c r="J187" s="7">
        <v>0</v>
      </c>
      <c r="K187" s="7">
        <f t="shared" si="11"/>
        <v>273243.81852726382</v>
      </c>
    </row>
    <row r="188" spans="5:11" x14ac:dyDescent="0.3">
      <c r="E188" s="17">
        <v>50314</v>
      </c>
      <c r="F188">
        <v>181</v>
      </c>
      <c r="G188" s="7">
        <f t="shared" si="8"/>
        <v>2448.3131822593941</v>
      </c>
      <c r="H188" s="18">
        <f t="shared" si="9"/>
        <v>1588.9383277818567</v>
      </c>
      <c r="I188" s="18">
        <f t="shared" si="10"/>
        <v>859.37485447753738</v>
      </c>
      <c r="J188" s="7">
        <v>0</v>
      </c>
      <c r="K188" s="7">
        <f t="shared" si="11"/>
        <v>272389.42761974683</v>
      </c>
    </row>
    <row r="189" spans="5:11" x14ac:dyDescent="0.3">
      <c r="E189" s="17">
        <v>50345</v>
      </c>
      <c r="F189">
        <v>182</v>
      </c>
      <c r="G189" s="7">
        <f t="shared" si="8"/>
        <v>2448.3131822593941</v>
      </c>
      <c r="H189" s="18">
        <f t="shared" si="9"/>
        <v>1583.9253077974045</v>
      </c>
      <c r="I189" s="18">
        <f t="shared" si="10"/>
        <v>864.38787446198967</v>
      </c>
      <c r="J189" s="7">
        <v>0</v>
      </c>
      <c r="K189" s="7">
        <f t="shared" si="11"/>
        <v>271530.0527652693</v>
      </c>
    </row>
    <row r="190" spans="5:11" x14ac:dyDescent="0.3">
      <c r="E190" s="17">
        <v>50375</v>
      </c>
      <c r="F190">
        <v>183</v>
      </c>
      <c r="G190" s="7">
        <f t="shared" si="8"/>
        <v>2448.3131822593941</v>
      </c>
      <c r="H190" s="18">
        <f t="shared" si="9"/>
        <v>1578.8830451963761</v>
      </c>
      <c r="I190" s="18">
        <f t="shared" si="10"/>
        <v>869.43013706301804</v>
      </c>
      <c r="J190" s="7">
        <v>0</v>
      </c>
      <c r="K190" s="7">
        <f t="shared" si="11"/>
        <v>270665.6648908073</v>
      </c>
    </row>
    <row r="191" spans="5:11" x14ac:dyDescent="0.3">
      <c r="E191" s="17">
        <v>50406</v>
      </c>
      <c r="F191">
        <v>184</v>
      </c>
      <c r="G191" s="7">
        <f t="shared" si="8"/>
        <v>2448.3131822593941</v>
      </c>
      <c r="H191" s="18">
        <f t="shared" si="9"/>
        <v>1573.8113693968417</v>
      </c>
      <c r="I191" s="18">
        <f t="shared" si="10"/>
        <v>874.50181286255247</v>
      </c>
      <c r="J191" s="7">
        <v>0</v>
      </c>
      <c r="K191" s="7">
        <f t="shared" si="11"/>
        <v>269796.23475374427</v>
      </c>
    </row>
    <row r="192" spans="5:11" x14ac:dyDescent="0.3">
      <c r="E192" s="17">
        <v>50437</v>
      </c>
      <c r="F192">
        <v>185</v>
      </c>
      <c r="G192" s="7">
        <f t="shared" si="8"/>
        <v>2448.3131822593941</v>
      </c>
      <c r="H192" s="18">
        <f t="shared" si="9"/>
        <v>1568.7101088218103</v>
      </c>
      <c r="I192" s="18">
        <f t="shared" si="10"/>
        <v>879.60307343758382</v>
      </c>
      <c r="J192" s="7">
        <v>0</v>
      </c>
      <c r="K192" s="7">
        <f t="shared" si="11"/>
        <v>268921.73294088175</v>
      </c>
    </row>
    <row r="193" spans="5:11" x14ac:dyDescent="0.3">
      <c r="E193" s="17">
        <v>50465</v>
      </c>
      <c r="F193">
        <v>186</v>
      </c>
      <c r="G193" s="7">
        <f t="shared" si="8"/>
        <v>2448.3131822593941</v>
      </c>
      <c r="H193" s="18">
        <f t="shared" si="9"/>
        <v>1563.5790908934243</v>
      </c>
      <c r="I193" s="18">
        <f t="shared" si="10"/>
        <v>884.73409136596979</v>
      </c>
      <c r="J193" s="7">
        <v>0</v>
      </c>
      <c r="K193" s="7">
        <f t="shared" si="11"/>
        <v>268042.12986744416</v>
      </c>
    </row>
    <row r="194" spans="5:11" x14ac:dyDescent="0.3">
      <c r="E194" s="17">
        <v>50496</v>
      </c>
      <c r="F194">
        <v>187</v>
      </c>
      <c r="G194" s="7">
        <f t="shared" si="8"/>
        <v>2448.3131822593941</v>
      </c>
      <c r="H194" s="18">
        <f t="shared" si="9"/>
        <v>1558.4181420271232</v>
      </c>
      <c r="I194" s="18">
        <f t="shared" si="10"/>
        <v>889.89504023227096</v>
      </c>
      <c r="J194" s="7">
        <v>0</v>
      </c>
      <c r="K194" s="7">
        <f t="shared" si="11"/>
        <v>267157.39577607822</v>
      </c>
    </row>
    <row r="195" spans="5:11" x14ac:dyDescent="0.3">
      <c r="E195" s="17">
        <v>50526</v>
      </c>
      <c r="F195">
        <v>188</v>
      </c>
      <c r="G195" s="7">
        <f t="shared" si="8"/>
        <v>2448.3131822593941</v>
      </c>
      <c r="H195" s="18">
        <f t="shared" si="9"/>
        <v>1553.227087625768</v>
      </c>
      <c r="I195" s="18">
        <f t="shared" si="10"/>
        <v>895.08609463362609</v>
      </c>
      <c r="J195" s="7">
        <v>0</v>
      </c>
      <c r="K195" s="7">
        <f t="shared" si="11"/>
        <v>266267.50073584594</v>
      </c>
    </row>
    <row r="196" spans="5:11" x14ac:dyDescent="0.3">
      <c r="E196" s="17">
        <v>50557</v>
      </c>
      <c r="F196">
        <v>189</v>
      </c>
      <c r="G196" s="7">
        <f t="shared" si="8"/>
        <v>2448.3131822593941</v>
      </c>
      <c r="H196" s="18">
        <f t="shared" si="9"/>
        <v>1548.0057520737389</v>
      </c>
      <c r="I196" s="18">
        <f t="shared" si="10"/>
        <v>900.30743018565522</v>
      </c>
      <c r="J196" s="7">
        <v>0</v>
      </c>
      <c r="K196" s="7">
        <f t="shared" si="11"/>
        <v>265372.41464121232</v>
      </c>
    </row>
    <row r="197" spans="5:11" x14ac:dyDescent="0.3">
      <c r="E197" s="17">
        <v>50587</v>
      </c>
      <c r="F197">
        <v>190</v>
      </c>
      <c r="G197" s="7">
        <f t="shared" si="8"/>
        <v>2448.3131822593941</v>
      </c>
      <c r="H197" s="18">
        <f t="shared" si="9"/>
        <v>1542.7539587309891</v>
      </c>
      <c r="I197" s="18">
        <f t="shared" si="10"/>
        <v>905.55922352840503</v>
      </c>
      <c r="J197" s="7">
        <v>0</v>
      </c>
      <c r="K197" s="7">
        <f t="shared" si="11"/>
        <v>264472.10721102665</v>
      </c>
    </row>
    <row r="198" spans="5:11" x14ac:dyDescent="0.3">
      <c r="E198" s="17">
        <v>50618</v>
      </c>
      <c r="F198">
        <v>191</v>
      </c>
      <c r="G198" s="7">
        <f t="shared" si="8"/>
        <v>2448.3131822593941</v>
      </c>
      <c r="H198" s="18">
        <f t="shared" si="9"/>
        <v>1537.4715299270731</v>
      </c>
      <c r="I198" s="18">
        <f t="shared" si="10"/>
        <v>910.84165233232102</v>
      </c>
      <c r="J198" s="7">
        <v>0</v>
      </c>
      <c r="K198" s="7">
        <f t="shared" si="11"/>
        <v>263566.54798749823</v>
      </c>
    </row>
    <row r="199" spans="5:11" x14ac:dyDescent="0.3">
      <c r="E199" s="17">
        <v>50649</v>
      </c>
      <c r="F199">
        <v>192</v>
      </c>
      <c r="G199" s="7">
        <f t="shared" si="8"/>
        <v>2448.3131822593941</v>
      </c>
      <c r="H199" s="18">
        <f t="shared" si="9"/>
        <v>1532.1582869551346</v>
      </c>
      <c r="I199" s="18">
        <f t="shared" si="10"/>
        <v>916.15489530425953</v>
      </c>
      <c r="J199" s="7">
        <v>0</v>
      </c>
      <c r="K199" s="7">
        <f t="shared" si="11"/>
        <v>262655.70633516589</v>
      </c>
    </row>
    <row r="200" spans="5:11" x14ac:dyDescent="0.3">
      <c r="E200" s="17">
        <v>50679</v>
      </c>
      <c r="F200">
        <v>193</v>
      </c>
      <c r="G200" s="7">
        <f t="shared" si="8"/>
        <v>2448.3131822593941</v>
      </c>
      <c r="H200" s="18">
        <f t="shared" si="9"/>
        <v>1526.8140500658594</v>
      </c>
      <c r="I200" s="18">
        <f t="shared" si="10"/>
        <v>921.49913219353471</v>
      </c>
      <c r="J200" s="7">
        <v>0</v>
      </c>
      <c r="K200" s="7">
        <f t="shared" si="11"/>
        <v>261739.55143986162</v>
      </c>
    </row>
    <row r="201" spans="5:11" x14ac:dyDescent="0.3">
      <c r="E201" s="17">
        <v>50710</v>
      </c>
      <c r="F201">
        <v>194</v>
      </c>
      <c r="G201" s="7">
        <f t="shared" si="8"/>
        <v>2448.3131822593941</v>
      </c>
      <c r="H201" s="18">
        <f t="shared" si="9"/>
        <v>1521.4386384613972</v>
      </c>
      <c r="I201" s="18">
        <f t="shared" si="10"/>
        <v>926.87454379799692</v>
      </c>
      <c r="J201" s="7">
        <v>0</v>
      </c>
      <c r="K201" s="7">
        <f t="shared" si="11"/>
        <v>260818.05230766808</v>
      </c>
    </row>
    <row r="202" spans="5:11" x14ac:dyDescent="0.3">
      <c r="E202" s="17">
        <v>50740</v>
      </c>
      <c r="F202">
        <v>195</v>
      </c>
      <c r="G202" s="7">
        <f t="shared" ref="G202:G250" si="12">IF($B$10&lt;K202+(K202*($B$6/$B$8)),$B$10,K202+(K202*($B$6/$B$8)))</f>
        <v>2448.3131822593941</v>
      </c>
      <c r="H202" s="18">
        <f t="shared" ref="H202:H250" si="13">K202*$B$6/$B$8</f>
        <v>1516.0318702892421</v>
      </c>
      <c r="I202" s="18">
        <f t="shared" ref="I202:I250" si="14">G202-H202</f>
        <v>932.28131197015205</v>
      </c>
      <c r="J202" s="7">
        <v>0</v>
      </c>
      <c r="K202" s="7">
        <f t="shared" ref="K202:K250" si="15">K201-I201</f>
        <v>259891.17776387007</v>
      </c>
    </row>
    <row r="203" spans="5:11" x14ac:dyDescent="0.3">
      <c r="E203" s="17">
        <v>50771</v>
      </c>
      <c r="F203">
        <v>196</v>
      </c>
      <c r="G203" s="7">
        <f t="shared" si="12"/>
        <v>2448.3131822593941</v>
      </c>
      <c r="H203" s="18">
        <f t="shared" si="13"/>
        <v>1510.5935626360831</v>
      </c>
      <c r="I203" s="18">
        <f t="shared" si="14"/>
        <v>937.71961962331102</v>
      </c>
      <c r="J203" s="7">
        <v>0</v>
      </c>
      <c r="K203" s="7">
        <f t="shared" si="15"/>
        <v>258958.89645189993</v>
      </c>
    </row>
    <row r="204" spans="5:11" x14ac:dyDescent="0.3">
      <c r="E204" s="17">
        <v>50802</v>
      </c>
      <c r="F204">
        <v>197</v>
      </c>
      <c r="G204" s="7">
        <f t="shared" si="12"/>
        <v>2448.3131822593941</v>
      </c>
      <c r="H204" s="18">
        <f t="shared" si="13"/>
        <v>1505.1235315216138</v>
      </c>
      <c r="I204" s="18">
        <f t="shared" si="14"/>
        <v>943.18965073778031</v>
      </c>
      <c r="J204" s="7">
        <v>0</v>
      </c>
      <c r="K204" s="7">
        <f t="shared" si="15"/>
        <v>258021.17683227663</v>
      </c>
    </row>
    <row r="205" spans="5:11" x14ac:dyDescent="0.3">
      <c r="E205" s="17">
        <v>50830</v>
      </c>
      <c r="F205">
        <v>198</v>
      </c>
      <c r="G205" s="7">
        <f t="shared" si="12"/>
        <v>2448.3131822593941</v>
      </c>
      <c r="H205" s="18">
        <f t="shared" si="13"/>
        <v>1499.6215918923101</v>
      </c>
      <c r="I205" s="18">
        <f t="shared" si="14"/>
        <v>948.69159036708402</v>
      </c>
      <c r="J205" s="7">
        <v>0</v>
      </c>
      <c r="K205" s="7">
        <f t="shared" si="15"/>
        <v>257077.98718153886</v>
      </c>
    </row>
    <row r="206" spans="5:11" x14ac:dyDescent="0.3">
      <c r="E206" s="17">
        <v>50861</v>
      </c>
      <c r="F206">
        <v>199</v>
      </c>
      <c r="G206" s="7">
        <f t="shared" si="12"/>
        <v>2448.3131822593941</v>
      </c>
      <c r="H206" s="18">
        <f t="shared" si="13"/>
        <v>1494.0875576151686</v>
      </c>
      <c r="I206" s="18">
        <f t="shared" si="14"/>
        <v>954.22562464422549</v>
      </c>
      <c r="J206" s="7">
        <v>0</v>
      </c>
      <c r="K206" s="7">
        <f t="shared" si="15"/>
        <v>256129.29559117177</v>
      </c>
    </row>
    <row r="207" spans="5:11" x14ac:dyDescent="0.3">
      <c r="E207" s="17">
        <v>50891</v>
      </c>
      <c r="F207">
        <v>200</v>
      </c>
      <c r="G207" s="7">
        <f t="shared" si="12"/>
        <v>2448.3131822593941</v>
      </c>
      <c r="H207" s="18">
        <f t="shared" si="13"/>
        <v>1488.5212414714108</v>
      </c>
      <c r="I207" s="18">
        <f t="shared" si="14"/>
        <v>959.79194078798332</v>
      </c>
      <c r="J207" s="7">
        <v>0</v>
      </c>
      <c r="K207" s="7">
        <f t="shared" si="15"/>
        <v>255175.06996652755</v>
      </c>
    </row>
    <row r="208" spans="5:11" x14ac:dyDescent="0.3">
      <c r="E208" s="17">
        <v>50922</v>
      </c>
      <c r="F208">
        <v>201</v>
      </c>
      <c r="G208" s="7">
        <f t="shared" si="12"/>
        <v>2448.3131822593941</v>
      </c>
      <c r="H208" s="18">
        <f t="shared" si="13"/>
        <v>1482.9224551501475</v>
      </c>
      <c r="I208" s="18">
        <f t="shared" si="14"/>
        <v>965.39072710924665</v>
      </c>
      <c r="J208" s="7">
        <v>0</v>
      </c>
      <c r="K208" s="7">
        <f t="shared" si="15"/>
        <v>254215.27802573956</v>
      </c>
    </row>
    <row r="209" spans="5:11" x14ac:dyDescent="0.3">
      <c r="E209" s="17">
        <v>50952</v>
      </c>
      <c r="F209">
        <v>202</v>
      </c>
      <c r="G209" s="7">
        <f t="shared" si="12"/>
        <v>2448.3131822593941</v>
      </c>
      <c r="H209" s="18">
        <f t="shared" si="13"/>
        <v>1477.2910092420104</v>
      </c>
      <c r="I209" s="18">
        <f t="shared" si="14"/>
        <v>971.02217301738369</v>
      </c>
      <c r="J209" s="7">
        <v>0</v>
      </c>
      <c r="K209" s="7">
        <f t="shared" si="15"/>
        <v>253249.88729863032</v>
      </c>
    </row>
    <row r="210" spans="5:11" x14ac:dyDescent="0.3">
      <c r="E210" s="17">
        <v>50983</v>
      </c>
      <c r="F210">
        <v>203</v>
      </c>
      <c r="G210" s="7">
        <f t="shared" si="12"/>
        <v>2448.3131822593941</v>
      </c>
      <c r="H210" s="18">
        <f t="shared" si="13"/>
        <v>1471.6267132327423</v>
      </c>
      <c r="I210" s="18">
        <f t="shared" si="14"/>
        <v>976.68646902665182</v>
      </c>
      <c r="J210" s="7">
        <v>0</v>
      </c>
      <c r="K210" s="7">
        <f t="shared" si="15"/>
        <v>252278.86512561294</v>
      </c>
    </row>
    <row r="211" spans="5:11" x14ac:dyDescent="0.3">
      <c r="E211" s="17">
        <v>51014</v>
      </c>
      <c r="F211">
        <v>204</v>
      </c>
      <c r="G211" s="7">
        <f t="shared" si="12"/>
        <v>2448.3131822593941</v>
      </c>
      <c r="H211" s="18">
        <f t="shared" si="13"/>
        <v>1465.9293754967537</v>
      </c>
      <c r="I211" s="18">
        <f t="shared" si="14"/>
        <v>982.38380676264046</v>
      </c>
      <c r="J211" s="7">
        <v>0</v>
      </c>
      <c r="K211" s="7">
        <f t="shared" si="15"/>
        <v>251302.1786565863</v>
      </c>
    </row>
    <row r="212" spans="5:11" x14ac:dyDescent="0.3">
      <c r="E212" s="17">
        <v>51044</v>
      </c>
      <c r="F212">
        <v>205</v>
      </c>
      <c r="G212" s="7">
        <f t="shared" si="12"/>
        <v>2448.3131822593941</v>
      </c>
      <c r="H212" s="18">
        <f t="shared" si="13"/>
        <v>1460.1988032906381</v>
      </c>
      <c r="I212" s="18">
        <f t="shared" si="14"/>
        <v>988.114378968756</v>
      </c>
      <c r="J212" s="7">
        <v>0</v>
      </c>
      <c r="K212" s="7">
        <f t="shared" si="15"/>
        <v>250319.79484982367</v>
      </c>
    </row>
    <row r="213" spans="5:11" x14ac:dyDescent="0.3">
      <c r="E213" s="17">
        <v>51075</v>
      </c>
      <c r="F213">
        <v>206</v>
      </c>
      <c r="G213" s="7">
        <f t="shared" si="12"/>
        <v>2448.3131822593941</v>
      </c>
      <c r="H213" s="18">
        <f t="shared" si="13"/>
        <v>1454.4348027466538</v>
      </c>
      <c r="I213" s="18">
        <f t="shared" si="14"/>
        <v>993.87837951274037</v>
      </c>
      <c r="J213" s="7">
        <v>0</v>
      </c>
      <c r="K213" s="7">
        <f t="shared" si="15"/>
        <v>249331.68047085492</v>
      </c>
    </row>
    <row r="214" spans="5:11" x14ac:dyDescent="0.3">
      <c r="E214" s="17">
        <v>51105</v>
      </c>
      <c r="F214">
        <v>207</v>
      </c>
      <c r="G214" s="7">
        <f t="shared" si="12"/>
        <v>2448.3131822593941</v>
      </c>
      <c r="H214" s="18">
        <f t="shared" si="13"/>
        <v>1448.6371788661627</v>
      </c>
      <c r="I214" s="18">
        <f t="shared" si="14"/>
        <v>999.67600339323144</v>
      </c>
      <c r="J214" s="7">
        <v>0</v>
      </c>
      <c r="K214" s="7">
        <f t="shared" si="15"/>
        <v>248337.80209134216</v>
      </c>
    </row>
    <row r="215" spans="5:11" x14ac:dyDescent="0.3">
      <c r="E215" s="17">
        <v>51136</v>
      </c>
      <c r="F215">
        <v>208</v>
      </c>
      <c r="G215" s="7">
        <f t="shared" si="12"/>
        <v>2448.3131822593941</v>
      </c>
      <c r="H215" s="18">
        <f t="shared" si="13"/>
        <v>1442.8057355130356</v>
      </c>
      <c r="I215" s="18">
        <f t="shared" si="14"/>
        <v>1005.5074467463585</v>
      </c>
      <c r="J215" s="7">
        <v>0</v>
      </c>
      <c r="K215" s="7">
        <f t="shared" si="15"/>
        <v>247338.12608794894</v>
      </c>
    </row>
    <row r="216" spans="5:11" x14ac:dyDescent="0.3">
      <c r="E216" s="17">
        <v>51167</v>
      </c>
      <c r="F216">
        <v>209</v>
      </c>
      <c r="G216" s="7">
        <f t="shared" si="12"/>
        <v>2448.3131822593941</v>
      </c>
      <c r="H216" s="18">
        <f t="shared" si="13"/>
        <v>1436.9402754070152</v>
      </c>
      <c r="I216" s="18">
        <f t="shared" si="14"/>
        <v>1011.3729068523789</v>
      </c>
      <c r="J216" s="7">
        <v>0</v>
      </c>
      <c r="K216" s="7">
        <f t="shared" si="15"/>
        <v>246332.61864120257</v>
      </c>
    </row>
    <row r="217" spans="5:11" x14ac:dyDescent="0.3">
      <c r="E217" s="17">
        <v>51196</v>
      </c>
      <c r="F217">
        <v>210</v>
      </c>
      <c r="G217" s="7">
        <f t="shared" si="12"/>
        <v>2448.3131822593941</v>
      </c>
      <c r="H217" s="18">
        <f t="shared" si="13"/>
        <v>1431.0406001170429</v>
      </c>
      <c r="I217" s="18">
        <f t="shared" si="14"/>
        <v>1017.2725821423512</v>
      </c>
      <c r="J217" s="7">
        <v>0</v>
      </c>
      <c r="K217" s="7">
        <f t="shared" si="15"/>
        <v>245321.2457343502</v>
      </c>
    </row>
    <row r="218" spans="5:11" x14ac:dyDescent="0.3">
      <c r="E218" s="17">
        <v>51227</v>
      </c>
      <c r="F218">
        <v>211</v>
      </c>
      <c r="G218" s="7">
        <f t="shared" si="12"/>
        <v>2448.3131822593941</v>
      </c>
      <c r="H218" s="18">
        <f t="shared" si="13"/>
        <v>1425.1065100545459</v>
      </c>
      <c r="I218" s="18">
        <f t="shared" si="14"/>
        <v>1023.2066722048482</v>
      </c>
      <c r="J218" s="7">
        <v>0</v>
      </c>
      <c r="K218" s="7">
        <f t="shared" si="15"/>
        <v>244303.97315220785</v>
      </c>
    </row>
    <row r="219" spans="5:11" x14ac:dyDescent="0.3">
      <c r="E219" s="17">
        <v>51257</v>
      </c>
      <c r="F219">
        <v>212</v>
      </c>
      <c r="G219" s="7">
        <f t="shared" si="12"/>
        <v>2448.3131822593941</v>
      </c>
      <c r="H219" s="18">
        <f t="shared" si="13"/>
        <v>1419.1378044666842</v>
      </c>
      <c r="I219" s="18">
        <f t="shared" si="14"/>
        <v>1029.1753777927099</v>
      </c>
      <c r="J219" s="7">
        <v>0</v>
      </c>
      <c r="K219" s="7">
        <f t="shared" si="15"/>
        <v>243280.76648000299</v>
      </c>
    </row>
    <row r="220" spans="5:11" x14ac:dyDescent="0.3">
      <c r="E220" s="17">
        <v>51288</v>
      </c>
      <c r="F220">
        <v>213</v>
      </c>
      <c r="G220" s="7">
        <f t="shared" si="12"/>
        <v>2448.3131822593941</v>
      </c>
      <c r="H220" s="18">
        <f t="shared" si="13"/>
        <v>1413.1342814295601</v>
      </c>
      <c r="I220" s="18">
        <f t="shared" si="14"/>
        <v>1035.178900829834</v>
      </c>
      <c r="J220" s="7">
        <v>0</v>
      </c>
      <c r="K220" s="7">
        <f t="shared" si="15"/>
        <v>242251.59110221028</v>
      </c>
    </row>
    <row r="221" spans="5:11" x14ac:dyDescent="0.3">
      <c r="E221" s="17">
        <v>51318</v>
      </c>
      <c r="F221">
        <v>214</v>
      </c>
      <c r="G221" s="7">
        <f t="shared" si="12"/>
        <v>2448.3131822593941</v>
      </c>
      <c r="H221" s="18">
        <f t="shared" si="13"/>
        <v>1407.0957378413859</v>
      </c>
      <c r="I221" s="18">
        <f t="shared" si="14"/>
        <v>1041.2174444180082</v>
      </c>
      <c r="J221" s="7">
        <v>0</v>
      </c>
      <c r="K221" s="7">
        <f t="shared" si="15"/>
        <v>241216.41220138044</v>
      </c>
    </row>
    <row r="222" spans="5:11" x14ac:dyDescent="0.3">
      <c r="E222" s="17">
        <v>51349</v>
      </c>
      <c r="F222">
        <v>215</v>
      </c>
      <c r="G222" s="7">
        <f t="shared" si="12"/>
        <v>2448.3131822593941</v>
      </c>
      <c r="H222" s="18">
        <f t="shared" si="13"/>
        <v>1401.0219694156142</v>
      </c>
      <c r="I222" s="18">
        <f t="shared" si="14"/>
        <v>1047.2912128437799</v>
      </c>
      <c r="J222" s="7">
        <v>0</v>
      </c>
      <c r="K222" s="7">
        <f t="shared" si="15"/>
        <v>240175.19475696245</v>
      </c>
    </row>
    <row r="223" spans="5:11" x14ac:dyDescent="0.3">
      <c r="E223" s="17">
        <v>51380</v>
      </c>
      <c r="F223">
        <v>216</v>
      </c>
      <c r="G223" s="7">
        <f t="shared" si="12"/>
        <v>2448.3131822593941</v>
      </c>
      <c r="H223" s="18">
        <f t="shared" si="13"/>
        <v>1394.9127706740255</v>
      </c>
      <c r="I223" s="18">
        <f t="shared" si="14"/>
        <v>1053.4004115853686</v>
      </c>
      <c r="J223" s="7">
        <v>0</v>
      </c>
      <c r="K223" s="7">
        <f t="shared" si="15"/>
        <v>239127.90354411866</v>
      </c>
    </row>
    <row r="224" spans="5:11" x14ac:dyDescent="0.3">
      <c r="E224" s="17">
        <v>51410</v>
      </c>
      <c r="F224">
        <v>217</v>
      </c>
      <c r="G224" s="7">
        <f t="shared" si="12"/>
        <v>2448.3131822593941</v>
      </c>
      <c r="H224" s="18">
        <f t="shared" si="13"/>
        <v>1388.7679349397777</v>
      </c>
      <c r="I224" s="18">
        <f t="shared" si="14"/>
        <v>1059.5452473196165</v>
      </c>
      <c r="J224" s="7">
        <v>0</v>
      </c>
      <c r="K224" s="7">
        <f t="shared" si="15"/>
        <v>238074.50313253328</v>
      </c>
    </row>
    <row r="225" spans="5:11" x14ac:dyDescent="0.3">
      <c r="E225" s="17">
        <v>51441</v>
      </c>
      <c r="F225">
        <v>218</v>
      </c>
      <c r="G225" s="7">
        <f t="shared" si="12"/>
        <v>2448.3131822593941</v>
      </c>
      <c r="H225" s="18">
        <f t="shared" si="13"/>
        <v>1382.5872543304131</v>
      </c>
      <c r="I225" s="18">
        <f t="shared" si="14"/>
        <v>1065.725927928981</v>
      </c>
      <c r="J225" s="7">
        <v>0</v>
      </c>
      <c r="K225" s="7">
        <f t="shared" si="15"/>
        <v>237014.95788521366</v>
      </c>
    </row>
    <row r="226" spans="5:11" x14ac:dyDescent="0.3">
      <c r="E226" s="17">
        <v>51471</v>
      </c>
      <c r="F226">
        <v>219</v>
      </c>
      <c r="G226" s="7">
        <f t="shared" si="12"/>
        <v>2448.3131822593941</v>
      </c>
      <c r="H226" s="18">
        <f t="shared" si="13"/>
        <v>1376.3705197508273</v>
      </c>
      <c r="I226" s="18">
        <f t="shared" si="14"/>
        <v>1071.9426625085669</v>
      </c>
      <c r="J226" s="7">
        <v>0</v>
      </c>
      <c r="K226" s="7">
        <f t="shared" si="15"/>
        <v>235949.23195728468</v>
      </c>
    </row>
    <row r="227" spans="5:11" x14ac:dyDescent="0.3">
      <c r="E227" s="17">
        <v>51502</v>
      </c>
      <c r="F227">
        <v>220</v>
      </c>
      <c r="G227" s="7">
        <f t="shared" si="12"/>
        <v>2448.3131822593941</v>
      </c>
      <c r="H227" s="18">
        <f t="shared" si="13"/>
        <v>1370.1175208861941</v>
      </c>
      <c r="I227" s="18">
        <f t="shared" si="14"/>
        <v>1078.1956613732</v>
      </c>
      <c r="J227" s="7">
        <v>0</v>
      </c>
      <c r="K227" s="7">
        <f t="shared" si="15"/>
        <v>234877.2892947761</v>
      </c>
    </row>
    <row r="228" spans="5:11" x14ac:dyDescent="0.3">
      <c r="E228" s="17">
        <v>51533</v>
      </c>
      <c r="F228">
        <v>221</v>
      </c>
      <c r="G228" s="7">
        <f t="shared" si="12"/>
        <v>2448.3131822593941</v>
      </c>
      <c r="H228" s="18">
        <f t="shared" si="13"/>
        <v>1363.8280461948505</v>
      </c>
      <c r="I228" s="18">
        <f t="shared" si="14"/>
        <v>1084.4851360645437</v>
      </c>
      <c r="J228" s="7">
        <v>0</v>
      </c>
      <c r="K228" s="7">
        <f t="shared" si="15"/>
        <v>233799.0936334029</v>
      </c>
    </row>
    <row r="229" spans="5:11" x14ac:dyDescent="0.3">
      <c r="E229" s="17">
        <v>51561</v>
      </c>
      <c r="F229">
        <v>222</v>
      </c>
      <c r="G229" s="7">
        <f t="shared" si="12"/>
        <v>2448.3131822593941</v>
      </c>
      <c r="H229" s="18">
        <f t="shared" si="13"/>
        <v>1357.5018829011403</v>
      </c>
      <c r="I229" s="18">
        <f t="shared" si="14"/>
        <v>1090.8112993582538</v>
      </c>
      <c r="J229" s="7">
        <v>0</v>
      </c>
      <c r="K229" s="7">
        <f t="shared" si="15"/>
        <v>232714.60849733834</v>
      </c>
    </row>
    <row r="230" spans="5:11" x14ac:dyDescent="0.3">
      <c r="E230" s="17">
        <v>51592</v>
      </c>
      <c r="F230">
        <v>223</v>
      </c>
      <c r="G230" s="7">
        <f t="shared" si="12"/>
        <v>2448.3131822593941</v>
      </c>
      <c r="H230" s="18">
        <f t="shared" si="13"/>
        <v>1351.1388169882173</v>
      </c>
      <c r="I230" s="18">
        <f t="shared" si="14"/>
        <v>1097.1743652711768</v>
      </c>
      <c r="J230" s="7">
        <v>0</v>
      </c>
      <c r="K230" s="7">
        <f t="shared" si="15"/>
        <v>231623.79719798008</v>
      </c>
    </row>
    <row r="231" spans="5:11" x14ac:dyDescent="0.3">
      <c r="E231" s="17">
        <v>51622</v>
      </c>
      <c r="F231">
        <v>224</v>
      </c>
      <c r="G231" s="7">
        <f t="shared" si="12"/>
        <v>2448.3131822593941</v>
      </c>
      <c r="H231" s="18">
        <f t="shared" si="13"/>
        <v>1344.7386331908021</v>
      </c>
      <c r="I231" s="18">
        <f t="shared" si="14"/>
        <v>1103.574549068592</v>
      </c>
      <c r="J231" s="7">
        <v>0</v>
      </c>
      <c r="K231" s="7">
        <f t="shared" si="15"/>
        <v>230526.6228327089</v>
      </c>
    </row>
    <row r="232" spans="5:11" x14ac:dyDescent="0.3">
      <c r="E232" s="17">
        <v>51653</v>
      </c>
      <c r="F232">
        <v>225</v>
      </c>
      <c r="G232" s="7">
        <f t="shared" si="12"/>
        <v>2448.3131822593941</v>
      </c>
      <c r="H232" s="18">
        <f t="shared" si="13"/>
        <v>1338.3011149879019</v>
      </c>
      <c r="I232" s="18">
        <f t="shared" si="14"/>
        <v>1110.0120672714922</v>
      </c>
      <c r="J232" s="7">
        <v>0</v>
      </c>
      <c r="K232" s="7">
        <f t="shared" si="15"/>
        <v>229423.04828364032</v>
      </c>
    </row>
    <row r="233" spans="5:11" x14ac:dyDescent="0.3">
      <c r="E233" s="17">
        <v>51683</v>
      </c>
      <c r="F233">
        <v>226</v>
      </c>
      <c r="G233" s="7">
        <f t="shared" si="12"/>
        <v>2448.3131822593941</v>
      </c>
      <c r="H233" s="18">
        <f t="shared" si="13"/>
        <v>1331.826044595485</v>
      </c>
      <c r="I233" s="18">
        <f t="shared" si="14"/>
        <v>1116.4871376639092</v>
      </c>
      <c r="J233" s="7">
        <v>0</v>
      </c>
      <c r="K233" s="7">
        <f t="shared" si="15"/>
        <v>228313.03621636884</v>
      </c>
    </row>
    <row r="234" spans="5:11" x14ac:dyDescent="0.3">
      <c r="E234" s="17">
        <v>51714</v>
      </c>
      <c r="F234">
        <v>227</v>
      </c>
      <c r="G234" s="7">
        <f t="shared" si="12"/>
        <v>2448.3131822593941</v>
      </c>
      <c r="H234" s="18">
        <f t="shared" si="13"/>
        <v>1325.3132029591122</v>
      </c>
      <c r="I234" s="18">
        <f t="shared" si="14"/>
        <v>1122.9999793002819</v>
      </c>
      <c r="J234" s="7">
        <v>0</v>
      </c>
      <c r="K234" s="7">
        <f t="shared" si="15"/>
        <v>227196.54907870493</v>
      </c>
    </row>
    <row r="235" spans="5:11" x14ac:dyDescent="0.3">
      <c r="E235" s="17">
        <v>51745</v>
      </c>
      <c r="F235">
        <v>228</v>
      </c>
      <c r="G235" s="7">
        <f t="shared" si="12"/>
        <v>2448.3131822593941</v>
      </c>
      <c r="H235" s="18">
        <f t="shared" si="13"/>
        <v>1318.7623697465272</v>
      </c>
      <c r="I235" s="18">
        <f t="shared" si="14"/>
        <v>1129.550812512867</v>
      </c>
      <c r="J235" s="7">
        <v>0</v>
      </c>
      <c r="K235" s="7">
        <f t="shared" si="15"/>
        <v>226073.54909940466</v>
      </c>
    </row>
    <row r="236" spans="5:11" x14ac:dyDescent="0.3">
      <c r="E236" s="17">
        <v>51775</v>
      </c>
      <c r="F236">
        <v>229</v>
      </c>
      <c r="G236" s="7">
        <f t="shared" si="12"/>
        <v>2448.3131822593941</v>
      </c>
      <c r="H236" s="18">
        <f t="shared" si="13"/>
        <v>1312.1733233402022</v>
      </c>
      <c r="I236" s="18">
        <f t="shared" si="14"/>
        <v>1136.139858919192</v>
      </c>
      <c r="J236" s="7">
        <v>0</v>
      </c>
      <c r="K236" s="7">
        <f t="shared" si="15"/>
        <v>224943.99828689179</v>
      </c>
    </row>
    <row r="237" spans="5:11" x14ac:dyDescent="0.3">
      <c r="E237" s="17">
        <v>51806</v>
      </c>
      <c r="F237">
        <v>230</v>
      </c>
      <c r="G237" s="7">
        <f t="shared" si="12"/>
        <v>2448.3131822593941</v>
      </c>
      <c r="H237" s="18">
        <f t="shared" si="13"/>
        <v>1305.5458408298402</v>
      </c>
      <c r="I237" s="18">
        <f t="shared" si="14"/>
        <v>1142.7673414295539</v>
      </c>
      <c r="J237" s="7">
        <v>0</v>
      </c>
      <c r="K237" s="7">
        <f t="shared" si="15"/>
        <v>223807.85842797259</v>
      </c>
    </row>
    <row r="238" spans="5:11" x14ac:dyDescent="0.3">
      <c r="E238" s="17">
        <v>51836</v>
      </c>
      <c r="F238">
        <v>231</v>
      </c>
      <c r="G238" s="7">
        <f t="shared" si="12"/>
        <v>2448.3131822593941</v>
      </c>
      <c r="H238" s="18">
        <f t="shared" si="13"/>
        <v>1298.8796980048346</v>
      </c>
      <c r="I238" s="18">
        <f t="shared" si="14"/>
        <v>1149.4334842545595</v>
      </c>
      <c r="J238" s="7">
        <v>0</v>
      </c>
      <c r="K238" s="7">
        <f t="shared" si="15"/>
        <v>222665.09108654305</v>
      </c>
    </row>
    <row r="239" spans="5:11" x14ac:dyDescent="0.3">
      <c r="E239" s="17">
        <v>51867</v>
      </c>
      <c r="F239">
        <v>232</v>
      </c>
      <c r="G239" s="7">
        <f t="shared" si="12"/>
        <v>2448.3131822593941</v>
      </c>
      <c r="H239" s="18">
        <f t="shared" si="13"/>
        <v>1292.174669346683</v>
      </c>
      <c r="I239" s="18">
        <f t="shared" si="14"/>
        <v>1156.1385129127111</v>
      </c>
      <c r="J239" s="7">
        <v>0</v>
      </c>
      <c r="K239" s="7">
        <f t="shared" si="15"/>
        <v>221515.6576022885</v>
      </c>
    </row>
    <row r="240" spans="5:11" x14ac:dyDescent="0.3">
      <c r="E240" s="17">
        <v>51898</v>
      </c>
      <c r="F240">
        <v>233</v>
      </c>
      <c r="G240" s="7">
        <f t="shared" si="12"/>
        <v>2448.3131822593941</v>
      </c>
      <c r="H240" s="18">
        <f t="shared" si="13"/>
        <v>1285.4305280213589</v>
      </c>
      <c r="I240" s="18">
        <f t="shared" si="14"/>
        <v>1162.8826542380352</v>
      </c>
      <c r="J240" s="7">
        <v>0</v>
      </c>
      <c r="K240" s="7">
        <f t="shared" si="15"/>
        <v>220359.5190893758</v>
      </c>
    </row>
    <row r="241" spans="5:13" x14ac:dyDescent="0.3">
      <c r="E241" s="17">
        <v>51926</v>
      </c>
      <c r="F241">
        <v>234</v>
      </c>
      <c r="G241" s="7">
        <f t="shared" si="12"/>
        <v>2448.3131822593941</v>
      </c>
      <c r="H241" s="18">
        <f t="shared" si="13"/>
        <v>1278.6470458716371</v>
      </c>
      <c r="I241" s="18">
        <f t="shared" si="14"/>
        <v>1169.666136387757</v>
      </c>
      <c r="J241" s="7">
        <v>0</v>
      </c>
      <c r="K241" s="7">
        <f t="shared" si="15"/>
        <v>219196.63643513777</v>
      </c>
    </row>
    <row r="242" spans="5:13" x14ac:dyDescent="0.3">
      <c r="E242" s="17">
        <v>51957</v>
      </c>
      <c r="F242">
        <v>235</v>
      </c>
      <c r="G242" s="7">
        <f t="shared" si="12"/>
        <v>2448.3131822593941</v>
      </c>
      <c r="H242" s="18">
        <f t="shared" si="13"/>
        <v>1271.8239934093751</v>
      </c>
      <c r="I242" s="18">
        <f t="shared" si="14"/>
        <v>1176.489188850019</v>
      </c>
      <c r="J242" s="7">
        <v>0</v>
      </c>
      <c r="K242" s="7">
        <f t="shared" si="15"/>
        <v>218026.97029875001</v>
      </c>
    </row>
    <row r="243" spans="5:13" x14ac:dyDescent="0.3">
      <c r="E243" s="17">
        <v>51987</v>
      </c>
      <c r="F243">
        <v>236</v>
      </c>
      <c r="G243" s="7">
        <f t="shared" si="12"/>
        <v>2448.3131822593941</v>
      </c>
      <c r="H243" s="18">
        <f t="shared" si="13"/>
        <v>1264.9611398077502</v>
      </c>
      <c r="I243" s="18">
        <f t="shared" si="14"/>
        <v>1183.3520424516439</v>
      </c>
      <c r="J243" s="7">
        <v>0</v>
      </c>
      <c r="K243" s="7">
        <f t="shared" si="15"/>
        <v>216850.48110989999</v>
      </c>
    </row>
    <row r="244" spans="5:13" x14ac:dyDescent="0.3">
      <c r="E244" s="17">
        <v>52018</v>
      </c>
      <c r="F244">
        <v>237</v>
      </c>
      <c r="G244" s="7">
        <f t="shared" si="12"/>
        <v>2448.3131822593941</v>
      </c>
      <c r="H244" s="18">
        <f t="shared" si="13"/>
        <v>1258.0582528934488</v>
      </c>
      <c r="I244" s="18">
        <f t="shared" si="14"/>
        <v>1190.2549293659454</v>
      </c>
      <c r="J244" s="7">
        <v>0</v>
      </c>
      <c r="K244" s="7">
        <f t="shared" si="15"/>
        <v>215667.12906744835</v>
      </c>
    </row>
    <row r="245" spans="5:13" x14ac:dyDescent="0.3">
      <c r="E245" s="17">
        <v>52048</v>
      </c>
      <c r="F245">
        <v>238</v>
      </c>
      <c r="G245" s="7">
        <f t="shared" si="12"/>
        <v>2448.3131822593941</v>
      </c>
      <c r="H245" s="18">
        <f t="shared" si="13"/>
        <v>1251.1150991388142</v>
      </c>
      <c r="I245" s="18">
        <f t="shared" si="14"/>
        <v>1197.1980831205799</v>
      </c>
      <c r="J245" s="7">
        <v>0</v>
      </c>
      <c r="K245" s="7">
        <f t="shared" si="15"/>
        <v>214476.87413808241</v>
      </c>
    </row>
    <row r="246" spans="5:13" x14ac:dyDescent="0.3">
      <c r="E246" s="17">
        <v>52079</v>
      </c>
      <c r="F246">
        <v>239</v>
      </c>
      <c r="G246" s="7">
        <f t="shared" si="12"/>
        <v>2448.3131822593941</v>
      </c>
      <c r="H246" s="18">
        <f t="shared" si="13"/>
        <v>1244.1314436539442</v>
      </c>
      <c r="I246" s="18">
        <f t="shared" si="14"/>
        <v>1204.1817386054499</v>
      </c>
      <c r="J246" s="7">
        <v>0</v>
      </c>
      <c r="K246" s="7">
        <f t="shared" si="15"/>
        <v>213279.67605496183</v>
      </c>
    </row>
    <row r="247" spans="5:13" x14ac:dyDescent="0.3">
      <c r="E247" s="17">
        <v>52110</v>
      </c>
      <c r="F247">
        <v>240</v>
      </c>
      <c r="G247" s="7">
        <f t="shared" si="12"/>
        <v>2448.3131822593941</v>
      </c>
      <c r="H247" s="18">
        <f t="shared" si="13"/>
        <v>1237.1070501787456</v>
      </c>
      <c r="I247" s="18">
        <f t="shared" si="14"/>
        <v>1211.2061320806486</v>
      </c>
      <c r="J247" s="7">
        <v>0</v>
      </c>
      <c r="K247" s="7">
        <f t="shared" si="15"/>
        <v>212075.49431635637</v>
      </c>
    </row>
    <row r="248" spans="5:13" x14ac:dyDescent="0.3">
      <c r="E248" s="17">
        <v>52140</v>
      </c>
      <c r="F248">
        <v>241</v>
      </c>
      <c r="G248" s="7">
        <f t="shared" si="12"/>
        <v>2448.3131822593941</v>
      </c>
      <c r="H248" s="18">
        <f t="shared" si="13"/>
        <v>1230.0416810749418</v>
      </c>
      <c r="I248" s="18">
        <f t="shared" si="14"/>
        <v>1218.2715011844523</v>
      </c>
      <c r="J248" s="7">
        <v>0</v>
      </c>
      <c r="K248" s="7">
        <f t="shared" si="15"/>
        <v>210864.28818427573</v>
      </c>
    </row>
    <row r="249" spans="5:13" x14ac:dyDescent="0.3">
      <c r="E249" s="17">
        <v>52171</v>
      </c>
      <c r="F249">
        <v>242</v>
      </c>
      <c r="G249" s="7">
        <f t="shared" si="12"/>
        <v>2448.3131822593941</v>
      </c>
      <c r="H249" s="18">
        <f t="shared" si="13"/>
        <v>1222.9350973180326</v>
      </c>
      <c r="I249" s="18">
        <f t="shared" si="14"/>
        <v>1225.3780849413615</v>
      </c>
      <c r="J249" s="7">
        <v>0</v>
      </c>
      <c r="K249" s="7">
        <f t="shared" si="15"/>
        <v>209646.01668309129</v>
      </c>
    </row>
    <row r="250" spans="5:13" x14ac:dyDescent="0.3">
      <c r="E250" s="17">
        <v>52201</v>
      </c>
      <c r="F250">
        <v>243</v>
      </c>
      <c r="G250" s="7">
        <f t="shared" si="12"/>
        <v>2448.3131822593941</v>
      </c>
      <c r="H250" s="18">
        <f t="shared" si="13"/>
        <v>1215.787058489208</v>
      </c>
      <c r="I250" s="18">
        <f t="shared" si="14"/>
        <v>1232.5261237701861</v>
      </c>
      <c r="J250" s="7">
        <v>0</v>
      </c>
      <c r="K250" s="7">
        <f t="shared" si="15"/>
        <v>208420.63859814993</v>
      </c>
    </row>
    <row r="251" spans="5:13" x14ac:dyDescent="0.3">
      <c r="E251" s="17">
        <v>52232</v>
      </c>
      <c r="F251">
        <v>244</v>
      </c>
      <c r="G251" s="7">
        <f t="shared" ref="G251:G314" si="16">IF($B$10&lt;K251+(K251*($B$6/$B$8)),$B$10,K251+(K251*($B$6/$B$8)))</f>
        <v>2448.3131822593941</v>
      </c>
      <c r="H251" s="18">
        <f t="shared" ref="H251:H314" si="17">K251*$B$6/$B$8</f>
        <v>1208.5973227672152</v>
      </c>
      <c r="I251" s="18">
        <f t="shared" ref="I251:I314" si="18">G251-H251</f>
        <v>1239.7158594921789</v>
      </c>
      <c r="J251" s="7">
        <v>0</v>
      </c>
      <c r="K251" s="7">
        <f t="shared" ref="K251:K314" si="19">K250-I250</f>
        <v>207188.11247437974</v>
      </c>
      <c r="M251" s="7"/>
    </row>
    <row r="252" spans="5:13" x14ac:dyDescent="0.3">
      <c r="E252" s="17">
        <v>52263</v>
      </c>
      <c r="F252">
        <v>245</v>
      </c>
      <c r="G252" s="7">
        <f t="shared" si="16"/>
        <v>2448.3131822593941</v>
      </c>
      <c r="H252" s="18">
        <f t="shared" si="17"/>
        <v>1201.3656469201776</v>
      </c>
      <c r="I252" s="18">
        <f t="shared" si="18"/>
        <v>1246.9475353392165</v>
      </c>
      <c r="J252" s="7">
        <v>0</v>
      </c>
      <c r="K252" s="7">
        <f t="shared" si="19"/>
        <v>205948.39661488755</v>
      </c>
      <c r="M252" s="7"/>
    </row>
    <row r="253" spans="5:13" x14ac:dyDescent="0.3">
      <c r="E253" s="17">
        <v>52291</v>
      </c>
      <c r="F253">
        <v>246</v>
      </c>
      <c r="G253" s="7">
        <f t="shared" si="16"/>
        <v>2448.3131822593941</v>
      </c>
      <c r="H253" s="18">
        <f t="shared" si="17"/>
        <v>1194.0917862973654</v>
      </c>
      <c r="I253" s="18">
        <f t="shared" si="18"/>
        <v>1254.2213959620287</v>
      </c>
      <c r="J253" s="7">
        <v>0</v>
      </c>
      <c r="K253" s="7">
        <f t="shared" si="19"/>
        <v>204701.44907954833</v>
      </c>
      <c r="M253" s="7"/>
    </row>
    <row r="254" spans="5:13" x14ac:dyDescent="0.3">
      <c r="E254" s="17">
        <v>52322</v>
      </c>
      <c r="F254">
        <v>247</v>
      </c>
      <c r="G254" s="7">
        <f t="shared" si="16"/>
        <v>2448.3131822593941</v>
      </c>
      <c r="H254" s="18">
        <f t="shared" si="17"/>
        <v>1186.7754948209201</v>
      </c>
      <c r="I254" s="18">
        <f t="shared" si="18"/>
        <v>1261.537687438474</v>
      </c>
      <c r="J254" s="7">
        <v>0</v>
      </c>
      <c r="K254" s="7">
        <f t="shared" si="19"/>
        <v>203447.2276835863</v>
      </c>
      <c r="M254" s="7"/>
    </row>
    <row r="255" spans="5:13" x14ac:dyDescent="0.3">
      <c r="E255" s="17">
        <v>52352</v>
      </c>
      <c r="F255">
        <v>248</v>
      </c>
      <c r="G255" s="7">
        <f t="shared" si="16"/>
        <v>2448.3131822593941</v>
      </c>
      <c r="H255" s="18">
        <f t="shared" si="17"/>
        <v>1179.416524977529</v>
      </c>
      <c r="I255" s="18">
        <f t="shared" si="18"/>
        <v>1268.8966572818651</v>
      </c>
      <c r="J255" s="7">
        <v>0</v>
      </c>
      <c r="K255" s="7">
        <f t="shared" si="19"/>
        <v>202185.68999614782</v>
      </c>
      <c r="M255" s="7"/>
    </row>
    <row r="256" spans="5:13" x14ac:dyDescent="0.3">
      <c r="E256" s="17">
        <v>52383</v>
      </c>
      <c r="F256">
        <v>249</v>
      </c>
      <c r="G256" s="7">
        <f t="shared" si="16"/>
        <v>2448.3131822593941</v>
      </c>
      <c r="H256" s="18">
        <f t="shared" si="17"/>
        <v>1172.0146278100515</v>
      </c>
      <c r="I256" s="18">
        <f t="shared" si="18"/>
        <v>1276.2985544493426</v>
      </c>
      <c r="J256" s="7">
        <v>0</v>
      </c>
      <c r="K256" s="7">
        <f t="shared" si="19"/>
        <v>200916.79333886594</v>
      </c>
      <c r="M256" s="7"/>
    </row>
    <row r="257" spans="5:13" x14ac:dyDescent="0.3">
      <c r="E257" s="17">
        <v>52413</v>
      </c>
      <c r="F257">
        <v>250</v>
      </c>
      <c r="G257" s="7">
        <f t="shared" si="16"/>
        <v>2448.3131822593941</v>
      </c>
      <c r="H257" s="18">
        <f t="shared" si="17"/>
        <v>1164.569552909097</v>
      </c>
      <c r="I257" s="18">
        <f t="shared" si="18"/>
        <v>1283.7436293502972</v>
      </c>
      <c r="J257" s="7">
        <v>0</v>
      </c>
      <c r="K257" s="7">
        <f t="shared" si="19"/>
        <v>199640.4947844166</v>
      </c>
      <c r="M257" s="7"/>
    </row>
    <row r="258" spans="5:13" x14ac:dyDescent="0.3">
      <c r="E258" s="17">
        <v>52444</v>
      </c>
      <c r="F258">
        <v>251</v>
      </c>
      <c r="G258" s="7">
        <f t="shared" si="16"/>
        <v>2448.3131822593941</v>
      </c>
      <c r="H258" s="18">
        <f t="shared" si="17"/>
        <v>1157.0810484045535</v>
      </c>
      <c r="I258" s="18">
        <f t="shared" si="18"/>
        <v>1291.2321338548406</v>
      </c>
      <c r="J258" s="7">
        <v>0</v>
      </c>
      <c r="K258" s="7">
        <f t="shared" si="19"/>
        <v>198356.7511550663</v>
      </c>
      <c r="M258" s="7"/>
    </row>
    <row r="259" spans="5:13" x14ac:dyDescent="0.3">
      <c r="E259" s="17">
        <v>52475</v>
      </c>
      <c r="F259">
        <v>252</v>
      </c>
      <c r="G259" s="7">
        <f t="shared" si="16"/>
        <v>2448.3131822593941</v>
      </c>
      <c r="H259" s="18">
        <f t="shared" si="17"/>
        <v>1149.5488609570668</v>
      </c>
      <c r="I259" s="18">
        <f t="shared" si="18"/>
        <v>1298.7643213023273</v>
      </c>
      <c r="J259" s="7">
        <v>0</v>
      </c>
      <c r="K259" s="7">
        <f t="shared" si="19"/>
        <v>197065.51902121145</v>
      </c>
      <c r="M259" s="7"/>
    </row>
    <row r="260" spans="5:13" x14ac:dyDescent="0.3">
      <c r="E260" s="17">
        <v>52505</v>
      </c>
      <c r="F260">
        <v>253</v>
      </c>
      <c r="G260" s="7">
        <f t="shared" si="16"/>
        <v>2448.3131822593941</v>
      </c>
      <c r="H260" s="18">
        <f t="shared" si="17"/>
        <v>1141.9727357494701</v>
      </c>
      <c r="I260" s="18">
        <f t="shared" si="18"/>
        <v>1306.340446509924</v>
      </c>
      <c r="J260" s="7">
        <v>0</v>
      </c>
      <c r="K260" s="7">
        <f t="shared" si="19"/>
        <v>195766.75469990913</v>
      </c>
      <c r="M260" s="7"/>
    </row>
    <row r="261" spans="5:13" x14ac:dyDescent="0.3">
      <c r="E261" s="17">
        <v>52536</v>
      </c>
      <c r="F261">
        <v>254</v>
      </c>
      <c r="G261" s="7">
        <f t="shared" si="16"/>
        <v>2448.3131822593941</v>
      </c>
      <c r="H261" s="18">
        <f t="shared" si="17"/>
        <v>1134.3524164781622</v>
      </c>
      <c r="I261" s="18">
        <f t="shared" si="18"/>
        <v>1313.9607657812319</v>
      </c>
      <c r="J261" s="7">
        <v>0</v>
      </c>
      <c r="K261" s="7">
        <f t="shared" si="19"/>
        <v>194460.41425339921</v>
      </c>
      <c r="M261" s="7"/>
    </row>
    <row r="262" spans="5:13" x14ac:dyDescent="0.3">
      <c r="E262" s="17">
        <v>52566</v>
      </c>
      <c r="F262">
        <v>255</v>
      </c>
      <c r="G262" s="7">
        <f t="shared" si="16"/>
        <v>2448.3131822593941</v>
      </c>
      <c r="H262" s="18">
        <f t="shared" si="17"/>
        <v>1126.6876453444384</v>
      </c>
      <c r="I262" s="18">
        <f t="shared" si="18"/>
        <v>1321.6255369149558</v>
      </c>
      <c r="J262" s="7">
        <v>0</v>
      </c>
      <c r="K262" s="7">
        <f t="shared" si="19"/>
        <v>193146.45348761798</v>
      </c>
      <c r="M262" s="7"/>
    </row>
    <row r="263" spans="5:13" x14ac:dyDescent="0.3">
      <c r="E263" s="17">
        <v>52597</v>
      </c>
      <c r="F263">
        <v>256</v>
      </c>
      <c r="G263" s="7">
        <f t="shared" si="16"/>
        <v>2448.3131822593941</v>
      </c>
      <c r="H263" s="18">
        <f t="shared" si="17"/>
        <v>1118.9781630457678</v>
      </c>
      <c r="I263" s="18">
        <f t="shared" si="18"/>
        <v>1329.3350192136263</v>
      </c>
      <c r="J263" s="7">
        <v>0</v>
      </c>
      <c r="K263" s="7">
        <f t="shared" si="19"/>
        <v>191824.82795070304</v>
      </c>
      <c r="M263" s="7"/>
    </row>
    <row r="264" spans="5:13" x14ac:dyDescent="0.3">
      <c r="E264" s="17">
        <v>52628</v>
      </c>
      <c r="F264">
        <v>257</v>
      </c>
      <c r="G264" s="7">
        <f t="shared" si="16"/>
        <v>2448.3131822593941</v>
      </c>
      <c r="H264" s="18">
        <f t="shared" si="17"/>
        <v>1111.2237087670217</v>
      </c>
      <c r="I264" s="18">
        <f t="shared" si="18"/>
        <v>1337.0894734923725</v>
      </c>
      <c r="J264" s="7">
        <v>0</v>
      </c>
      <c r="K264" s="7">
        <f t="shared" si="19"/>
        <v>190495.49293148943</v>
      </c>
      <c r="M264" s="7"/>
    </row>
    <row r="265" spans="5:13" x14ac:dyDescent="0.3">
      <c r="E265" s="17">
        <v>52657</v>
      </c>
      <c r="F265">
        <v>258</v>
      </c>
      <c r="G265" s="7">
        <f t="shared" si="16"/>
        <v>2448.3131822593941</v>
      </c>
      <c r="H265" s="18">
        <f t="shared" si="17"/>
        <v>1103.4240201716495</v>
      </c>
      <c r="I265" s="18">
        <f t="shared" si="18"/>
        <v>1344.8891620877446</v>
      </c>
      <c r="J265" s="7">
        <v>0</v>
      </c>
      <c r="K265" s="7">
        <f t="shared" si="19"/>
        <v>189158.40345799705</v>
      </c>
      <c r="M265" s="7"/>
    </row>
    <row r="266" spans="5:13" x14ac:dyDescent="0.3">
      <c r="E266" s="17">
        <v>52688</v>
      </c>
      <c r="F266">
        <v>259</v>
      </c>
      <c r="G266" s="7">
        <f t="shared" si="16"/>
        <v>2448.3131822593941</v>
      </c>
      <c r="H266" s="18">
        <f t="shared" si="17"/>
        <v>1095.5788333928042</v>
      </c>
      <c r="I266" s="18">
        <f t="shared" si="18"/>
        <v>1352.7343488665899</v>
      </c>
      <c r="J266" s="7">
        <v>0</v>
      </c>
      <c r="K266" s="7">
        <f t="shared" si="19"/>
        <v>187813.51429590929</v>
      </c>
      <c r="M266" s="7"/>
    </row>
    <row r="267" spans="5:13" x14ac:dyDescent="0.3">
      <c r="E267" s="17">
        <v>52718</v>
      </c>
      <c r="F267">
        <v>260</v>
      </c>
      <c r="G267" s="7">
        <f t="shared" si="16"/>
        <v>2448.3131822593941</v>
      </c>
      <c r="H267" s="18">
        <f t="shared" si="17"/>
        <v>1087.6878830244159</v>
      </c>
      <c r="I267" s="18">
        <f t="shared" si="18"/>
        <v>1360.6252992349782</v>
      </c>
      <c r="J267" s="7">
        <v>0</v>
      </c>
      <c r="K267" s="7">
        <f t="shared" si="19"/>
        <v>186460.7799470427</v>
      </c>
      <c r="M267" s="7"/>
    </row>
    <row r="268" spans="5:13" x14ac:dyDescent="0.3">
      <c r="E268" s="17">
        <v>52749</v>
      </c>
      <c r="F268">
        <v>261</v>
      </c>
      <c r="G268" s="7">
        <f t="shared" si="16"/>
        <v>2448.3131822593941</v>
      </c>
      <c r="H268" s="18">
        <f t="shared" si="17"/>
        <v>1079.7509021122116</v>
      </c>
      <c r="I268" s="18">
        <f t="shared" si="18"/>
        <v>1368.5622801471825</v>
      </c>
      <c r="J268" s="7">
        <v>0</v>
      </c>
      <c r="K268" s="7">
        <f t="shared" si="19"/>
        <v>185100.15464780771</v>
      </c>
      <c r="M268" s="7"/>
    </row>
    <row r="269" spans="5:13" x14ac:dyDescent="0.3">
      <c r="E269" s="17">
        <v>52779</v>
      </c>
      <c r="F269">
        <v>262</v>
      </c>
      <c r="G269" s="7">
        <f t="shared" si="16"/>
        <v>2448.3131822593941</v>
      </c>
      <c r="H269" s="18">
        <f t="shared" si="17"/>
        <v>1071.7676221446866</v>
      </c>
      <c r="I269" s="18">
        <f t="shared" si="18"/>
        <v>1376.5455601147075</v>
      </c>
      <c r="J269" s="7">
        <v>0</v>
      </c>
      <c r="K269" s="7">
        <f t="shared" si="19"/>
        <v>183731.59236766052</v>
      </c>
      <c r="M269" s="7"/>
    </row>
    <row r="270" spans="5:13" x14ac:dyDescent="0.3">
      <c r="E270" s="17">
        <v>52810</v>
      </c>
      <c r="F270">
        <v>263</v>
      </c>
      <c r="G270" s="7">
        <f t="shared" si="16"/>
        <v>2448.3131822593941</v>
      </c>
      <c r="H270" s="18">
        <f t="shared" si="17"/>
        <v>1063.7377730440173</v>
      </c>
      <c r="I270" s="18">
        <f t="shared" si="18"/>
        <v>1384.5754092153768</v>
      </c>
      <c r="J270" s="7">
        <v>0</v>
      </c>
      <c r="K270" s="7">
        <f t="shared" si="19"/>
        <v>182355.04680754582</v>
      </c>
      <c r="M270" s="7"/>
    </row>
    <row r="271" spans="5:13" x14ac:dyDescent="0.3">
      <c r="E271" s="17">
        <v>52841</v>
      </c>
      <c r="F271">
        <v>264</v>
      </c>
      <c r="G271" s="7">
        <f t="shared" si="16"/>
        <v>2448.3131822593941</v>
      </c>
      <c r="H271" s="18">
        <f t="shared" si="17"/>
        <v>1055.6610831569276</v>
      </c>
      <c r="I271" s="18">
        <f t="shared" si="18"/>
        <v>1392.6520991024665</v>
      </c>
      <c r="J271" s="7">
        <v>0</v>
      </c>
      <c r="K271" s="7">
        <f t="shared" si="19"/>
        <v>180970.47139833044</v>
      </c>
      <c r="M271" s="7"/>
    </row>
    <row r="272" spans="5:13" x14ac:dyDescent="0.3">
      <c r="E272" s="17">
        <v>52871</v>
      </c>
      <c r="F272">
        <v>265</v>
      </c>
      <c r="G272" s="7">
        <f t="shared" si="16"/>
        <v>2448.3131822593941</v>
      </c>
      <c r="H272" s="18">
        <f t="shared" si="17"/>
        <v>1047.5372792454966</v>
      </c>
      <c r="I272" s="18">
        <f t="shared" si="18"/>
        <v>1400.7759030138975</v>
      </c>
      <c r="J272" s="7">
        <v>0</v>
      </c>
      <c r="K272" s="7">
        <f t="shared" si="19"/>
        <v>179577.81929922797</v>
      </c>
      <c r="M272" s="7"/>
    </row>
    <row r="273" spans="5:13" x14ac:dyDescent="0.3">
      <c r="E273" s="17">
        <v>52902</v>
      </c>
      <c r="F273">
        <v>266</v>
      </c>
      <c r="G273" s="7">
        <f t="shared" si="16"/>
        <v>2448.3131822593941</v>
      </c>
      <c r="H273" s="18">
        <f t="shared" si="17"/>
        <v>1039.3660864779156</v>
      </c>
      <c r="I273" s="18">
        <f t="shared" si="18"/>
        <v>1408.9470957814785</v>
      </c>
      <c r="J273" s="7">
        <v>0</v>
      </c>
      <c r="K273" s="7">
        <f t="shared" si="19"/>
        <v>178177.04339621408</v>
      </c>
      <c r="M273" s="7"/>
    </row>
    <row r="274" spans="5:13" x14ac:dyDescent="0.3">
      <c r="E274" s="17">
        <v>52932</v>
      </c>
      <c r="F274">
        <v>267</v>
      </c>
      <c r="G274" s="7">
        <f t="shared" si="16"/>
        <v>2448.3131822593941</v>
      </c>
      <c r="H274" s="18">
        <f t="shared" si="17"/>
        <v>1031.1472284191902</v>
      </c>
      <c r="I274" s="18">
        <f t="shared" si="18"/>
        <v>1417.1659538402039</v>
      </c>
      <c r="J274" s="7">
        <v>0</v>
      </c>
      <c r="K274" s="7">
        <f t="shared" si="19"/>
        <v>176768.0963004326</v>
      </c>
      <c r="M274" s="7"/>
    </row>
    <row r="275" spans="5:13" x14ac:dyDescent="0.3">
      <c r="E275" s="17">
        <v>52963</v>
      </c>
      <c r="F275">
        <v>268</v>
      </c>
      <c r="G275" s="7">
        <f t="shared" si="16"/>
        <v>2448.3131822593941</v>
      </c>
      <c r="H275" s="18">
        <f t="shared" si="17"/>
        <v>1022.8804270217889</v>
      </c>
      <c r="I275" s="18">
        <f t="shared" si="18"/>
        <v>1425.4327552376053</v>
      </c>
      <c r="J275" s="7">
        <v>0</v>
      </c>
      <c r="K275" s="7">
        <f t="shared" si="19"/>
        <v>175350.93034659239</v>
      </c>
      <c r="M275" s="7"/>
    </row>
    <row r="276" spans="5:13" x14ac:dyDescent="0.3">
      <c r="E276" s="17">
        <v>52994</v>
      </c>
      <c r="F276">
        <v>269</v>
      </c>
      <c r="G276" s="7">
        <f t="shared" si="16"/>
        <v>2448.3131822593941</v>
      </c>
      <c r="H276" s="18">
        <f t="shared" si="17"/>
        <v>1014.5654026162362</v>
      </c>
      <c r="I276" s="18">
        <f t="shared" si="18"/>
        <v>1433.7477796431581</v>
      </c>
      <c r="J276" s="7">
        <v>0</v>
      </c>
      <c r="K276" s="7">
        <f t="shared" si="19"/>
        <v>173925.49759135477</v>
      </c>
      <c r="M276" s="7"/>
    </row>
    <row r="277" spans="5:13" x14ac:dyDescent="0.3">
      <c r="E277" s="17">
        <v>53022</v>
      </c>
      <c r="F277">
        <v>270</v>
      </c>
      <c r="G277" s="7">
        <f t="shared" si="16"/>
        <v>2448.3131822593941</v>
      </c>
      <c r="H277" s="18">
        <f t="shared" si="17"/>
        <v>1006.2018739016512</v>
      </c>
      <c r="I277" s="18">
        <f t="shared" si="18"/>
        <v>1442.1113083577429</v>
      </c>
      <c r="J277" s="7">
        <v>0</v>
      </c>
      <c r="K277" s="7">
        <f t="shared" si="19"/>
        <v>172491.7498117116</v>
      </c>
      <c r="M277" s="7"/>
    </row>
    <row r="278" spans="5:13" x14ac:dyDescent="0.3">
      <c r="E278" s="17">
        <v>53053</v>
      </c>
      <c r="F278">
        <v>271</v>
      </c>
      <c r="G278" s="7">
        <f t="shared" si="16"/>
        <v>2448.3131822593941</v>
      </c>
      <c r="H278" s="18">
        <f t="shared" si="17"/>
        <v>997.78955793623106</v>
      </c>
      <c r="I278" s="18">
        <f t="shared" si="18"/>
        <v>1450.5236243231629</v>
      </c>
      <c r="J278" s="7">
        <v>0</v>
      </c>
      <c r="K278" s="7">
        <f t="shared" si="19"/>
        <v>171049.63850335387</v>
      </c>
      <c r="M278" s="7"/>
    </row>
    <row r="279" spans="5:13" x14ac:dyDescent="0.3">
      <c r="E279" s="17">
        <v>53083</v>
      </c>
      <c r="F279">
        <v>272</v>
      </c>
      <c r="G279" s="7">
        <f t="shared" si="16"/>
        <v>2448.3131822593941</v>
      </c>
      <c r="H279" s="18">
        <f t="shared" si="17"/>
        <v>989.32817012767919</v>
      </c>
      <c r="I279" s="18">
        <f t="shared" si="18"/>
        <v>1458.9850121317149</v>
      </c>
      <c r="J279" s="7">
        <v>0</v>
      </c>
      <c r="K279" s="7">
        <f t="shared" si="19"/>
        <v>169599.11487903071</v>
      </c>
      <c r="M279" s="7"/>
    </row>
    <row r="280" spans="5:13" x14ac:dyDescent="0.3">
      <c r="E280" s="17">
        <v>53114</v>
      </c>
      <c r="F280">
        <v>273</v>
      </c>
      <c r="G280" s="7">
        <f t="shared" si="16"/>
        <v>2448.3131822593941</v>
      </c>
      <c r="H280" s="18">
        <f t="shared" si="17"/>
        <v>980.81742422357763</v>
      </c>
      <c r="I280" s="18">
        <f t="shared" si="18"/>
        <v>1467.4957580358164</v>
      </c>
      <c r="J280" s="7">
        <v>0</v>
      </c>
      <c r="K280" s="7">
        <f t="shared" si="19"/>
        <v>168140.12986689899</v>
      </c>
      <c r="M280" s="7"/>
    </row>
    <row r="281" spans="5:13" x14ac:dyDescent="0.3">
      <c r="E281" s="17">
        <v>53144</v>
      </c>
      <c r="F281">
        <v>274</v>
      </c>
      <c r="G281" s="7">
        <f t="shared" si="16"/>
        <v>2448.3131822593941</v>
      </c>
      <c r="H281" s="18">
        <f t="shared" si="17"/>
        <v>972.257032301702</v>
      </c>
      <c r="I281" s="18">
        <f t="shared" si="18"/>
        <v>1476.056149957692</v>
      </c>
      <c r="J281" s="7">
        <v>0</v>
      </c>
      <c r="K281" s="7">
        <f t="shared" si="19"/>
        <v>166672.63410886319</v>
      </c>
      <c r="M281" s="7"/>
    </row>
    <row r="282" spans="5:13" x14ac:dyDescent="0.3">
      <c r="E282" s="17">
        <v>53175</v>
      </c>
      <c r="F282">
        <v>275</v>
      </c>
      <c r="G282" s="7">
        <f t="shared" si="16"/>
        <v>2448.3131822593941</v>
      </c>
      <c r="H282" s="18">
        <f t="shared" si="17"/>
        <v>963.6467047602822</v>
      </c>
      <c r="I282" s="18">
        <f t="shared" si="18"/>
        <v>1484.6664774991118</v>
      </c>
      <c r="J282" s="7">
        <v>0</v>
      </c>
      <c r="K282" s="7">
        <f t="shared" si="19"/>
        <v>165196.57795890549</v>
      </c>
      <c r="M282" s="7"/>
    </row>
    <row r="283" spans="5:13" x14ac:dyDescent="0.3">
      <c r="E283" s="17">
        <v>53206</v>
      </c>
      <c r="F283">
        <v>276</v>
      </c>
      <c r="G283" s="7">
        <f t="shared" si="16"/>
        <v>2448.3131822593941</v>
      </c>
      <c r="H283" s="18">
        <f t="shared" si="17"/>
        <v>954.98615030820383</v>
      </c>
      <c r="I283" s="18">
        <f t="shared" si="18"/>
        <v>1493.3270319511903</v>
      </c>
      <c r="J283" s="7">
        <v>0</v>
      </c>
      <c r="K283" s="7">
        <f t="shared" si="19"/>
        <v>163711.91148140637</v>
      </c>
      <c r="M283" s="7"/>
    </row>
    <row r="284" spans="5:13" x14ac:dyDescent="0.3">
      <c r="E284" s="17">
        <v>53236</v>
      </c>
      <c r="F284">
        <v>277</v>
      </c>
      <c r="G284" s="7">
        <f t="shared" si="16"/>
        <v>2448.3131822593941</v>
      </c>
      <c r="H284" s="18">
        <f t="shared" si="17"/>
        <v>946.27507595515533</v>
      </c>
      <c r="I284" s="18">
        <f t="shared" si="18"/>
        <v>1502.0381063042387</v>
      </c>
      <c r="J284" s="7">
        <v>0</v>
      </c>
      <c r="K284" s="7">
        <f t="shared" si="19"/>
        <v>162218.58444945517</v>
      </c>
      <c r="M284" s="7"/>
    </row>
    <row r="285" spans="5:13" x14ac:dyDescent="0.3">
      <c r="E285" s="17">
        <v>53267</v>
      </c>
      <c r="F285">
        <v>278</v>
      </c>
      <c r="G285" s="7">
        <f t="shared" si="16"/>
        <v>2448.3131822593941</v>
      </c>
      <c r="H285" s="18">
        <f t="shared" si="17"/>
        <v>937.51318700171385</v>
      </c>
      <c r="I285" s="18">
        <f t="shared" si="18"/>
        <v>1510.7999952576802</v>
      </c>
      <c r="J285" s="7">
        <v>0</v>
      </c>
      <c r="K285" s="7">
        <f t="shared" si="19"/>
        <v>160716.54634315093</v>
      </c>
      <c r="M285" s="7"/>
    </row>
    <row r="286" spans="5:13" x14ac:dyDescent="0.3">
      <c r="E286" s="17">
        <v>53297</v>
      </c>
      <c r="F286">
        <v>279</v>
      </c>
      <c r="G286" s="7">
        <f t="shared" si="16"/>
        <v>2448.3131822593941</v>
      </c>
      <c r="H286" s="18">
        <f t="shared" si="17"/>
        <v>928.70018702937739</v>
      </c>
      <c r="I286" s="18">
        <f t="shared" si="18"/>
        <v>1519.6129952300166</v>
      </c>
      <c r="J286" s="7">
        <v>0</v>
      </c>
      <c r="K286" s="7">
        <f t="shared" si="19"/>
        <v>159205.74634789323</v>
      </c>
      <c r="M286" s="7"/>
    </row>
    <row r="287" spans="5:13" x14ac:dyDescent="0.3">
      <c r="E287" s="17">
        <v>53328</v>
      </c>
      <c r="F287">
        <v>280</v>
      </c>
      <c r="G287" s="7">
        <f t="shared" si="16"/>
        <v>2448.3131822593941</v>
      </c>
      <c r="H287" s="18">
        <f t="shared" si="17"/>
        <v>919.83577789053561</v>
      </c>
      <c r="I287" s="18">
        <f t="shared" si="18"/>
        <v>1528.4774043688585</v>
      </c>
      <c r="J287" s="7">
        <v>0</v>
      </c>
      <c r="K287" s="7">
        <f t="shared" si="19"/>
        <v>157686.13335266322</v>
      </c>
      <c r="M287" s="7"/>
    </row>
    <row r="288" spans="5:13" x14ac:dyDescent="0.3">
      <c r="E288" s="17">
        <v>53359</v>
      </c>
      <c r="F288">
        <v>281</v>
      </c>
      <c r="G288" s="7">
        <f t="shared" si="16"/>
        <v>2448.3131822593941</v>
      </c>
      <c r="H288" s="18">
        <f t="shared" si="17"/>
        <v>910.91965969838384</v>
      </c>
      <c r="I288" s="18">
        <f t="shared" si="18"/>
        <v>1537.3935225610103</v>
      </c>
      <c r="J288" s="7">
        <v>0</v>
      </c>
      <c r="K288" s="7">
        <f t="shared" si="19"/>
        <v>156157.65594829436</v>
      </c>
      <c r="M288" s="7"/>
    </row>
    <row r="289" spans="5:13" x14ac:dyDescent="0.3">
      <c r="E289" s="17">
        <v>53387</v>
      </c>
      <c r="F289">
        <v>282</v>
      </c>
      <c r="G289" s="7">
        <f t="shared" si="16"/>
        <v>2448.3131822593941</v>
      </c>
      <c r="H289" s="18">
        <f t="shared" si="17"/>
        <v>901.9515308167779</v>
      </c>
      <c r="I289" s="18">
        <f t="shared" si="18"/>
        <v>1546.3616514426162</v>
      </c>
      <c r="J289" s="7">
        <v>0</v>
      </c>
      <c r="K289" s="7">
        <f t="shared" si="19"/>
        <v>154620.26242573335</v>
      </c>
      <c r="M289" s="7"/>
    </row>
    <row r="290" spans="5:13" x14ac:dyDescent="0.3">
      <c r="E290" s="17">
        <v>53418</v>
      </c>
      <c r="F290">
        <v>283</v>
      </c>
      <c r="G290" s="7">
        <f t="shared" si="16"/>
        <v>2448.3131822593941</v>
      </c>
      <c r="H290" s="18">
        <f t="shared" si="17"/>
        <v>892.93108785002926</v>
      </c>
      <c r="I290" s="18">
        <f t="shared" si="18"/>
        <v>1555.382094409365</v>
      </c>
      <c r="J290" s="7">
        <v>0</v>
      </c>
      <c r="K290" s="7">
        <f t="shared" si="19"/>
        <v>153073.90077429073</v>
      </c>
      <c r="M290" s="7"/>
    </row>
    <row r="291" spans="5:13" x14ac:dyDescent="0.3">
      <c r="E291" s="17">
        <v>53448</v>
      </c>
      <c r="F291">
        <v>284</v>
      </c>
      <c r="G291" s="7">
        <f t="shared" si="16"/>
        <v>2448.3131822593941</v>
      </c>
      <c r="H291" s="18">
        <f t="shared" si="17"/>
        <v>883.85802563264133</v>
      </c>
      <c r="I291" s="18">
        <f t="shared" si="18"/>
        <v>1564.4551566267528</v>
      </c>
      <c r="J291" s="7">
        <v>0</v>
      </c>
      <c r="K291" s="7">
        <f t="shared" si="19"/>
        <v>151518.51867988135</v>
      </c>
      <c r="M291" s="7"/>
    </row>
    <row r="292" spans="5:13" x14ac:dyDescent="0.3">
      <c r="E292" s="17">
        <v>53479</v>
      </c>
      <c r="F292">
        <v>285</v>
      </c>
      <c r="G292" s="7">
        <f t="shared" si="16"/>
        <v>2448.3131822593941</v>
      </c>
      <c r="H292" s="18">
        <f t="shared" si="17"/>
        <v>874.73203721898517</v>
      </c>
      <c r="I292" s="18">
        <f t="shared" si="18"/>
        <v>1573.581145040409</v>
      </c>
      <c r="J292" s="7">
        <v>0</v>
      </c>
      <c r="K292" s="7">
        <f t="shared" si="19"/>
        <v>149954.06352325459</v>
      </c>
      <c r="M292" s="7"/>
    </row>
    <row r="293" spans="5:13" x14ac:dyDescent="0.3">
      <c r="E293" s="17">
        <v>53509</v>
      </c>
      <c r="F293">
        <v>286</v>
      </c>
      <c r="G293" s="7">
        <f t="shared" si="16"/>
        <v>2448.3131822593941</v>
      </c>
      <c r="H293" s="18">
        <f t="shared" si="17"/>
        <v>865.55281387291609</v>
      </c>
      <c r="I293" s="18">
        <f t="shared" si="18"/>
        <v>1582.7603683864781</v>
      </c>
      <c r="J293" s="7">
        <v>0</v>
      </c>
      <c r="K293" s="7">
        <f t="shared" si="19"/>
        <v>148380.48237821419</v>
      </c>
      <c r="M293" s="7"/>
    </row>
    <row r="294" spans="5:13" x14ac:dyDescent="0.3">
      <c r="E294" s="17">
        <v>53540</v>
      </c>
      <c r="F294">
        <v>287</v>
      </c>
      <c r="G294" s="7">
        <f t="shared" si="16"/>
        <v>2448.3131822593941</v>
      </c>
      <c r="H294" s="18">
        <f t="shared" si="17"/>
        <v>856.32004505732846</v>
      </c>
      <c r="I294" s="18">
        <f t="shared" si="18"/>
        <v>1591.9931372020656</v>
      </c>
      <c r="J294" s="7">
        <v>0</v>
      </c>
      <c r="K294" s="7">
        <f t="shared" si="19"/>
        <v>146797.7220098277</v>
      </c>
      <c r="M294" s="7"/>
    </row>
    <row r="295" spans="5:13" x14ac:dyDescent="0.3">
      <c r="E295" s="17">
        <v>53571</v>
      </c>
      <c r="F295">
        <v>288</v>
      </c>
      <c r="G295" s="7">
        <f t="shared" si="16"/>
        <v>2448.3131822593941</v>
      </c>
      <c r="H295" s="18">
        <f t="shared" si="17"/>
        <v>847.03341842364955</v>
      </c>
      <c r="I295" s="18">
        <f t="shared" si="18"/>
        <v>1601.2797638357447</v>
      </c>
      <c r="J295" s="7">
        <v>0</v>
      </c>
      <c r="K295" s="7">
        <f t="shared" si="19"/>
        <v>145205.72887262562</v>
      </c>
      <c r="M295" s="7"/>
    </row>
    <row r="296" spans="5:13" x14ac:dyDescent="0.3">
      <c r="E296" s="17">
        <v>53601</v>
      </c>
      <c r="F296">
        <v>289</v>
      </c>
      <c r="G296" s="7">
        <f t="shared" si="16"/>
        <v>2448.3131822593941</v>
      </c>
      <c r="H296" s="18">
        <f t="shared" si="17"/>
        <v>837.6926198012743</v>
      </c>
      <c r="I296" s="18">
        <f t="shared" si="18"/>
        <v>1610.6205624581198</v>
      </c>
      <c r="J296" s="7">
        <v>0</v>
      </c>
      <c r="K296" s="7">
        <f t="shared" si="19"/>
        <v>143604.44910878988</v>
      </c>
      <c r="M296" s="7"/>
    </row>
    <row r="297" spans="5:13" x14ac:dyDescent="0.3">
      <c r="E297" s="17">
        <v>53632</v>
      </c>
      <c r="F297">
        <v>290</v>
      </c>
      <c r="G297" s="7">
        <f t="shared" si="16"/>
        <v>2448.3131822593941</v>
      </c>
      <c r="H297" s="18">
        <f t="shared" si="17"/>
        <v>828.29733318693536</v>
      </c>
      <c r="I297" s="18">
        <f t="shared" si="18"/>
        <v>1620.0158490724589</v>
      </c>
      <c r="J297" s="7">
        <v>0</v>
      </c>
      <c r="K297" s="7">
        <f t="shared" si="19"/>
        <v>141993.82854633176</v>
      </c>
      <c r="M297" s="7"/>
    </row>
    <row r="298" spans="5:13" x14ac:dyDescent="0.3">
      <c r="E298" s="17">
        <v>53662</v>
      </c>
      <c r="F298">
        <v>291</v>
      </c>
      <c r="G298" s="7">
        <f t="shared" si="16"/>
        <v>2448.3131822593941</v>
      </c>
      <c r="H298" s="18">
        <f t="shared" si="17"/>
        <v>818.84724073401264</v>
      </c>
      <c r="I298" s="18">
        <f t="shared" si="18"/>
        <v>1629.4659415253814</v>
      </c>
      <c r="J298" s="7">
        <v>0</v>
      </c>
      <c r="K298" s="7">
        <f t="shared" si="19"/>
        <v>140373.8126972593</v>
      </c>
      <c r="M298" s="7"/>
    </row>
    <row r="299" spans="5:13" x14ac:dyDescent="0.3">
      <c r="E299" s="17">
        <v>53693</v>
      </c>
      <c r="F299">
        <v>292</v>
      </c>
      <c r="G299" s="7">
        <f t="shared" si="16"/>
        <v>2448.3131822593941</v>
      </c>
      <c r="H299" s="18">
        <f t="shared" si="17"/>
        <v>809.34202274178131</v>
      </c>
      <c r="I299" s="18">
        <f t="shared" si="18"/>
        <v>1638.9711595176127</v>
      </c>
      <c r="J299" s="7">
        <v>0</v>
      </c>
      <c r="K299" s="7">
        <f t="shared" si="19"/>
        <v>138744.34675573392</v>
      </c>
      <c r="M299" s="7"/>
    </row>
    <row r="300" spans="5:13" x14ac:dyDescent="0.3">
      <c r="E300" s="17">
        <v>53724</v>
      </c>
      <c r="F300">
        <v>293</v>
      </c>
      <c r="G300" s="7">
        <f t="shared" si="16"/>
        <v>2448.3131822593941</v>
      </c>
      <c r="H300" s="18">
        <f t="shared" si="17"/>
        <v>799.78135764459512</v>
      </c>
      <c r="I300" s="18">
        <f t="shared" si="18"/>
        <v>1648.531824614799</v>
      </c>
      <c r="J300" s="7">
        <v>0</v>
      </c>
      <c r="K300" s="7">
        <f t="shared" si="19"/>
        <v>137105.3755962163</v>
      </c>
      <c r="M300" s="7"/>
    </row>
    <row r="301" spans="5:13" x14ac:dyDescent="0.3">
      <c r="E301" s="17">
        <v>53752</v>
      </c>
      <c r="F301">
        <v>294</v>
      </c>
      <c r="G301" s="7">
        <f t="shared" si="16"/>
        <v>2448.3131822593941</v>
      </c>
      <c r="H301" s="18">
        <f t="shared" si="17"/>
        <v>790.1649220010089</v>
      </c>
      <c r="I301" s="18">
        <f t="shared" si="18"/>
        <v>1658.1482602583851</v>
      </c>
      <c r="J301" s="7">
        <v>0</v>
      </c>
      <c r="K301" s="7">
        <f t="shared" si="19"/>
        <v>135456.8437716015</v>
      </c>
      <c r="M301" s="7"/>
    </row>
    <row r="302" spans="5:13" x14ac:dyDescent="0.3">
      <c r="E302" s="17">
        <v>53783</v>
      </c>
      <c r="F302">
        <v>295</v>
      </c>
      <c r="G302" s="7">
        <f t="shared" si="16"/>
        <v>2448.3131822593941</v>
      </c>
      <c r="H302" s="18">
        <f t="shared" si="17"/>
        <v>780.49239048283505</v>
      </c>
      <c r="I302" s="18">
        <f t="shared" si="18"/>
        <v>1667.820791776559</v>
      </c>
      <c r="J302" s="7">
        <v>0</v>
      </c>
      <c r="K302" s="7">
        <f t="shared" si="19"/>
        <v>133798.69551134313</v>
      </c>
      <c r="M302" s="7"/>
    </row>
    <row r="303" spans="5:13" x14ac:dyDescent="0.3">
      <c r="E303" s="17">
        <v>53813</v>
      </c>
      <c r="F303">
        <v>296</v>
      </c>
      <c r="G303" s="7">
        <f t="shared" si="16"/>
        <v>2448.3131822593941</v>
      </c>
      <c r="H303" s="18">
        <f t="shared" si="17"/>
        <v>770.7634358641385</v>
      </c>
      <c r="I303" s="18">
        <f t="shared" si="18"/>
        <v>1677.5497463952556</v>
      </c>
      <c r="J303" s="7">
        <v>0</v>
      </c>
      <c r="K303" s="7">
        <f t="shared" si="19"/>
        <v>132130.87471956658</v>
      </c>
      <c r="M303" s="7"/>
    </row>
    <row r="304" spans="5:13" x14ac:dyDescent="0.3">
      <c r="E304" s="17">
        <v>53844</v>
      </c>
      <c r="F304">
        <v>297</v>
      </c>
      <c r="G304" s="7">
        <f t="shared" si="16"/>
        <v>2448.3131822593941</v>
      </c>
      <c r="H304" s="18">
        <f t="shared" si="17"/>
        <v>760.97772901016617</v>
      </c>
      <c r="I304" s="18">
        <f t="shared" si="18"/>
        <v>1687.3354532492281</v>
      </c>
      <c r="J304" s="7">
        <v>0</v>
      </c>
      <c r="K304" s="7">
        <f t="shared" si="19"/>
        <v>130453.32497317133</v>
      </c>
      <c r="M304" s="7"/>
    </row>
    <row r="305" spans="5:13" x14ac:dyDescent="0.3">
      <c r="E305" s="17">
        <v>53874</v>
      </c>
      <c r="F305">
        <v>298</v>
      </c>
      <c r="G305" s="7">
        <f t="shared" si="16"/>
        <v>2448.3131822593941</v>
      </c>
      <c r="H305" s="18">
        <f t="shared" si="17"/>
        <v>751.13493886621234</v>
      </c>
      <c r="I305" s="18">
        <f t="shared" si="18"/>
        <v>1697.1782433931817</v>
      </c>
      <c r="J305" s="7">
        <v>0</v>
      </c>
      <c r="K305" s="7">
        <f t="shared" si="19"/>
        <v>128765.98951992211</v>
      </c>
      <c r="M305" s="7"/>
    </row>
    <row r="306" spans="5:13" x14ac:dyDescent="0.3">
      <c r="E306" s="17">
        <v>53905</v>
      </c>
      <c r="F306">
        <v>299</v>
      </c>
      <c r="G306" s="7">
        <f t="shared" si="16"/>
        <v>2448.3131822593941</v>
      </c>
      <c r="H306" s="18">
        <f t="shared" si="17"/>
        <v>741.23473244641889</v>
      </c>
      <c r="I306" s="18">
        <f t="shared" si="18"/>
        <v>1707.0784498129751</v>
      </c>
      <c r="J306" s="7">
        <v>0</v>
      </c>
      <c r="K306" s="7">
        <f t="shared" si="19"/>
        <v>127068.81127652893</v>
      </c>
      <c r="M306" s="7"/>
    </row>
    <row r="307" spans="5:13" x14ac:dyDescent="0.3">
      <c r="E307" s="17">
        <v>53936</v>
      </c>
      <c r="F307">
        <v>300</v>
      </c>
      <c r="G307" s="7">
        <f t="shared" si="16"/>
        <v>2448.3131822593941</v>
      </c>
      <c r="H307" s="18">
        <f t="shared" si="17"/>
        <v>731.27677482250976</v>
      </c>
      <c r="I307" s="18">
        <f t="shared" si="18"/>
        <v>1717.0364074368845</v>
      </c>
      <c r="J307" s="7">
        <v>0</v>
      </c>
      <c r="K307" s="7">
        <f t="shared" si="19"/>
        <v>125361.73282671595</v>
      </c>
      <c r="M307" s="7"/>
    </row>
    <row r="308" spans="5:13" x14ac:dyDescent="0.3">
      <c r="E308" s="17">
        <v>53966</v>
      </c>
      <c r="F308">
        <v>301</v>
      </c>
      <c r="G308" s="7">
        <f t="shared" si="16"/>
        <v>2448.3131822593941</v>
      </c>
      <c r="H308" s="18">
        <f t="shared" si="17"/>
        <v>721.26072911246126</v>
      </c>
      <c r="I308" s="18">
        <f t="shared" si="18"/>
        <v>1727.0524531469327</v>
      </c>
      <c r="J308" s="7">
        <v>0</v>
      </c>
      <c r="K308" s="7">
        <f t="shared" si="19"/>
        <v>123644.69641927906</v>
      </c>
      <c r="M308" s="7"/>
    </row>
    <row r="309" spans="5:13" x14ac:dyDescent="0.3">
      <c r="E309" s="17">
        <v>53997</v>
      </c>
      <c r="F309">
        <v>302</v>
      </c>
      <c r="G309" s="7">
        <f t="shared" si="16"/>
        <v>2448.3131822593941</v>
      </c>
      <c r="H309" s="18">
        <f t="shared" si="17"/>
        <v>711.18625646910414</v>
      </c>
      <c r="I309" s="18">
        <f t="shared" si="18"/>
        <v>1737.12692579029</v>
      </c>
      <c r="J309" s="7">
        <v>0</v>
      </c>
      <c r="K309" s="7">
        <f t="shared" si="19"/>
        <v>121917.64396613213</v>
      </c>
      <c r="M309" s="7"/>
    </row>
    <row r="310" spans="5:13" x14ac:dyDescent="0.3">
      <c r="E310" s="17">
        <v>54027</v>
      </c>
      <c r="F310">
        <v>303</v>
      </c>
      <c r="G310" s="7">
        <f t="shared" si="16"/>
        <v>2448.3131822593941</v>
      </c>
      <c r="H310" s="18">
        <f t="shared" si="17"/>
        <v>701.05301606866078</v>
      </c>
      <c r="I310" s="18">
        <f t="shared" si="18"/>
        <v>1747.2601661907333</v>
      </c>
      <c r="J310" s="7">
        <v>0</v>
      </c>
      <c r="K310" s="7">
        <f t="shared" si="19"/>
        <v>120180.51704034185</v>
      </c>
      <c r="M310" s="7"/>
    </row>
    <row r="311" spans="5:13" x14ac:dyDescent="0.3">
      <c r="E311" s="17">
        <v>54058</v>
      </c>
      <c r="F311">
        <v>304</v>
      </c>
      <c r="G311" s="7">
        <f t="shared" si="16"/>
        <v>2448.3131822593941</v>
      </c>
      <c r="H311" s="18">
        <f t="shared" si="17"/>
        <v>690.86066509921477</v>
      </c>
      <c r="I311" s="18">
        <f t="shared" si="18"/>
        <v>1757.4525171601795</v>
      </c>
      <c r="J311" s="7">
        <v>0</v>
      </c>
      <c r="K311" s="7">
        <f t="shared" si="19"/>
        <v>118433.25687415111</v>
      </c>
      <c r="M311" s="7"/>
    </row>
    <row r="312" spans="5:13" x14ac:dyDescent="0.3">
      <c r="E312" s="17">
        <v>54089</v>
      </c>
      <c r="F312">
        <v>305</v>
      </c>
      <c r="G312" s="7">
        <f t="shared" si="16"/>
        <v>2448.3131822593941</v>
      </c>
      <c r="H312" s="18">
        <f t="shared" si="17"/>
        <v>680.60885874911378</v>
      </c>
      <c r="I312" s="18">
        <f t="shared" si="18"/>
        <v>1767.7043235102803</v>
      </c>
      <c r="J312" s="7">
        <v>0</v>
      </c>
      <c r="K312" s="7">
        <f t="shared" si="19"/>
        <v>116675.80435699092</v>
      </c>
      <c r="M312" s="7"/>
    </row>
    <row r="313" spans="5:13" x14ac:dyDescent="0.3">
      <c r="E313" s="17">
        <v>54118</v>
      </c>
      <c r="F313">
        <v>306</v>
      </c>
      <c r="G313" s="7">
        <f t="shared" si="16"/>
        <v>2448.3131822593941</v>
      </c>
      <c r="H313" s="18">
        <f t="shared" si="17"/>
        <v>670.29725019530383</v>
      </c>
      <c r="I313" s="18">
        <f t="shared" si="18"/>
        <v>1778.0159320640903</v>
      </c>
      <c r="J313" s="7">
        <v>0</v>
      </c>
      <c r="K313" s="7">
        <f t="shared" si="19"/>
        <v>114908.10003348064</v>
      </c>
      <c r="M313" s="7"/>
    </row>
    <row r="314" spans="5:13" x14ac:dyDescent="0.3">
      <c r="E314" s="17">
        <v>54149</v>
      </c>
      <c r="F314">
        <v>307</v>
      </c>
      <c r="G314" s="7">
        <f t="shared" si="16"/>
        <v>2448.3131822593941</v>
      </c>
      <c r="H314" s="18">
        <f t="shared" si="17"/>
        <v>659.9254905915966</v>
      </c>
      <c r="I314" s="18">
        <f t="shared" si="18"/>
        <v>1788.3876916677975</v>
      </c>
      <c r="J314" s="7">
        <v>0</v>
      </c>
      <c r="K314" s="7">
        <f t="shared" si="19"/>
        <v>113130.08410141655</v>
      </c>
      <c r="M314" s="7"/>
    </row>
    <row r="315" spans="5:13" x14ac:dyDescent="0.3">
      <c r="E315" s="17">
        <v>54179</v>
      </c>
      <c r="F315">
        <v>308</v>
      </c>
      <c r="G315" s="7">
        <f t="shared" ref="G315:G335" si="20">IF($B$10&lt;K315+(K315*($B$6/$B$8)),$B$10,K315+(K315*($B$6/$B$8)))</f>
        <v>2448.3131822593941</v>
      </c>
      <c r="H315" s="18">
        <f t="shared" ref="H315:H335" si="21">K315*$B$6/$B$8</f>
        <v>649.49322905686779</v>
      </c>
      <c r="I315" s="18">
        <f t="shared" ref="I315:I335" si="22">G315-H315</f>
        <v>1798.8199532025264</v>
      </c>
      <c r="J315" s="7">
        <v>0</v>
      </c>
      <c r="K315" s="7">
        <f t="shared" ref="K315:K335" si="23">K314-I314</f>
        <v>111341.69640974875</v>
      </c>
      <c r="M315" s="7"/>
    </row>
    <row r="316" spans="5:13" x14ac:dyDescent="0.3">
      <c r="E316" s="17">
        <v>54210</v>
      </c>
      <c r="F316">
        <v>309</v>
      </c>
      <c r="G316" s="7">
        <f t="shared" si="20"/>
        <v>2448.3131822593941</v>
      </c>
      <c r="H316" s="18">
        <f t="shared" si="21"/>
        <v>639.00011266318631</v>
      </c>
      <c r="I316" s="18">
        <f t="shared" si="22"/>
        <v>1809.3130695962077</v>
      </c>
      <c r="J316" s="7">
        <v>0</v>
      </c>
      <c r="K316" s="7">
        <f t="shared" si="23"/>
        <v>109542.87645654622</v>
      </c>
      <c r="M316" s="7"/>
    </row>
    <row r="317" spans="5:13" x14ac:dyDescent="0.3">
      <c r="E317" s="17">
        <v>54240</v>
      </c>
      <c r="F317">
        <v>310</v>
      </c>
      <c r="G317" s="7">
        <f t="shared" si="20"/>
        <v>2448.3131822593941</v>
      </c>
      <c r="H317" s="18">
        <f t="shared" si="21"/>
        <v>628.44578642387512</v>
      </c>
      <c r="I317" s="18">
        <f t="shared" si="22"/>
        <v>1819.8673958355189</v>
      </c>
      <c r="J317" s="7">
        <v>0</v>
      </c>
      <c r="K317" s="7">
        <f t="shared" si="23"/>
        <v>107733.56338695002</v>
      </c>
      <c r="M317" s="7"/>
    </row>
    <row r="318" spans="5:13" x14ac:dyDescent="0.3">
      <c r="E318" s="17">
        <v>54271</v>
      </c>
      <c r="F318">
        <v>311</v>
      </c>
      <c r="G318" s="7">
        <f t="shared" si="20"/>
        <v>2448.3131822593941</v>
      </c>
      <c r="H318" s="18">
        <f t="shared" si="21"/>
        <v>617.82989328150131</v>
      </c>
      <c r="I318" s="18">
        <f t="shared" si="22"/>
        <v>1830.4832889778927</v>
      </c>
      <c r="J318" s="7">
        <v>0</v>
      </c>
      <c r="K318" s="7">
        <f t="shared" si="23"/>
        <v>105913.69599111449</v>
      </c>
      <c r="M318" s="7"/>
    </row>
    <row r="319" spans="5:13" x14ac:dyDescent="0.3">
      <c r="E319" s="17">
        <v>54302</v>
      </c>
      <c r="F319">
        <v>312</v>
      </c>
      <c r="G319" s="7">
        <f t="shared" si="20"/>
        <v>2448.3131822593941</v>
      </c>
      <c r="H319" s="18">
        <f t="shared" si="21"/>
        <v>607.15207409579693</v>
      </c>
      <c r="I319" s="18">
        <f t="shared" si="22"/>
        <v>1841.1611081635972</v>
      </c>
      <c r="J319" s="7">
        <v>0</v>
      </c>
      <c r="K319" s="7">
        <f t="shared" si="23"/>
        <v>104083.2127021366</v>
      </c>
      <c r="M319" s="7"/>
    </row>
    <row r="320" spans="5:13" x14ac:dyDescent="0.3">
      <c r="E320" s="17">
        <v>54332</v>
      </c>
      <c r="F320">
        <v>313</v>
      </c>
      <c r="G320" s="7">
        <f t="shared" si="20"/>
        <v>2448.3131822593941</v>
      </c>
      <c r="H320" s="18">
        <f t="shared" si="21"/>
        <v>596.41196763150936</v>
      </c>
      <c r="I320" s="18">
        <f t="shared" si="22"/>
        <v>1851.9012146278847</v>
      </c>
      <c r="J320" s="7">
        <v>0</v>
      </c>
      <c r="K320" s="7">
        <f t="shared" si="23"/>
        <v>102242.05159397301</v>
      </c>
      <c r="M320" s="7"/>
    </row>
    <row r="321" spans="5:13" x14ac:dyDescent="0.3">
      <c r="E321" s="17">
        <v>54363</v>
      </c>
      <c r="F321">
        <v>314</v>
      </c>
      <c r="G321" s="7">
        <f t="shared" si="20"/>
        <v>2448.3131822593941</v>
      </c>
      <c r="H321" s="18">
        <f t="shared" si="21"/>
        <v>585.60921054617995</v>
      </c>
      <c r="I321" s="18">
        <f t="shared" si="22"/>
        <v>1862.7039717132143</v>
      </c>
      <c r="J321" s="7">
        <v>0</v>
      </c>
      <c r="K321" s="7">
        <f t="shared" si="23"/>
        <v>100390.15037934513</v>
      </c>
      <c r="M321" s="7"/>
    </row>
    <row r="322" spans="5:13" x14ac:dyDescent="0.3">
      <c r="E322" s="17">
        <v>54393</v>
      </c>
      <c r="F322">
        <v>315</v>
      </c>
      <c r="G322" s="7">
        <f t="shared" si="20"/>
        <v>2448.3131822593941</v>
      </c>
      <c r="H322" s="18">
        <f t="shared" si="21"/>
        <v>574.74343737785284</v>
      </c>
      <c r="I322" s="18">
        <f t="shared" si="22"/>
        <v>1873.5697448815413</v>
      </c>
      <c r="J322" s="7">
        <v>0</v>
      </c>
      <c r="K322" s="7">
        <f t="shared" si="23"/>
        <v>98527.446407631913</v>
      </c>
      <c r="M322" s="7"/>
    </row>
    <row r="323" spans="5:13" x14ac:dyDescent="0.3">
      <c r="E323" s="17">
        <v>54424</v>
      </c>
      <c r="F323">
        <v>316</v>
      </c>
      <c r="G323" s="7">
        <f t="shared" si="20"/>
        <v>2448.3131822593941</v>
      </c>
      <c r="H323" s="18">
        <f t="shared" si="21"/>
        <v>563.81428053271054</v>
      </c>
      <c r="I323" s="18">
        <f t="shared" si="22"/>
        <v>1884.4989017266835</v>
      </c>
      <c r="J323" s="7">
        <v>0</v>
      </c>
      <c r="K323" s="7">
        <f t="shared" si="23"/>
        <v>96653.876662750365</v>
      </c>
      <c r="M323" s="7"/>
    </row>
    <row r="324" spans="5:13" x14ac:dyDescent="0.3">
      <c r="E324" s="17">
        <v>54455</v>
      </c>
      <c r="F324">
        <v>317</v>
      </c>
      <c r="G324" s="7">
        <f t="shared" si="20"/>
        <v>2448.3131822593941</v>
      </c>
      <c r="H324" s="18">
        <f t="shared" si="21"/>
        <v>552.82137027263821</v>
      </c>
      <c r="I324" s="18">
        <f t="shared" si="22"/>
        <v>1895.4918119867559</v>
      </c>
      <c r="J324" s="7">
        <v>0</v>
      </c>
      <c r="K324" s="7">
        <f t="shared" si="23"/>
        <v>94769.377761023687</v>
      </c>
      <c r="M324" s="7"/>
    </row>
    <row r="325" spans="5:13" x14ac:dyDescent="0.3">
      <c r="E325" s="17">
        <v>54483</v>
      </c>
      <c r="F325">
        <v>318</v>
      </c>
      <c r="G325" s="7">
        <f t="shared" si="20"/>
        <v>2448.3131822593941</v>
      </c>
      <c r="H325" s="18">
        <f t="shared" si="21"/>
        <v>541.76433470271547</v>
      </c>
      <c r="I325" s="18">
        <f t="shared" si="22"/>
        <v>1906.5488475566785</v>
      </c>
      <c r="J325" s="7">
        <v>0</v>
      </c>
      <c r="K325" s="7">
        <f t="shared" si="23"/>
        <v>92873.885949036936</v>
      </c>
      <c r="M325" s="7"/>
    </row>
    <row r="326" spans="5:13" x14ac:dyDescent="0.3">
      <c r="E326" s="17">
        <v>54514</v>
      </c>
      <c r="F326">
        <v>319</v>
      </c>
      <c r="G326" s="7">
        <f t="shared" si="20"/>
        <v>2448.3131822593941</v>
      </c>
      <c r="H326" s="18">
        <f t="shared" si="21"/>
        <v>530.64279975863485</v>
      </c>
      <c r="I326" s="18">
        <f t="shared" si="22"/>
        <v>1917.6703825007594</v>
      </c>
      <c r="J326" s="7">
        <v>0</v>
      </c>
      <c r="K326" s="7">
        <f t="shared" si="23"/>
        <v>90967.337101480254</v>
      </c>
      <c r="M326" s="7"/>
    </row>
    <row r="327" spans="5:13" x14ac:dyDescent="0.3">
      <c r="E327" s="17">
        <v>54544</v>
      </c>
      <c r="F327">
        <v>320</v>
      </c>
      <c r="G327" s="7">
        <f t="shared" si="20"/>
        <v>2448.3131822593941</v>
      </c>
      <c r="H327" s="18">
        <f t="shared" si="21"/>
        <v>519.45638919404712</v>
      </c>
      <c r="I327" s="18">
        <f t="shared" si="22"/>
        <v>1928.8567930653471</v>
      </c>
      <c r="J327" s="7">
        <v>0</v>
      </c>
      <c r="K327" s="7">
        <f t="shared" si="23"/>
        <v>89049.666718979497</v>
      </c>
      <c r="M327" s="7"/>
    </row>
    <row r="328" spans="5:13" x14ac:dyDescent="0.3">
      <c r="E328" s="17">
        <v>54575</v>
      </c>
      <c r="F328">
        <v>321</v>
      </c>
      <c r="G328" s="7">
        <f t="shared" si="20"/>
        <v>2448.3131822593941</v>
      </c>
      <c r="H328" s="18">
        <f t="shared" si="21"/>
        <v>508.20472456783256</v>
      </c>
      <c r="I328" s="18">
        <f t="shared" si="22"/>
        <v>1940.1084576915616</v>
      </c>
      <c r="J328" s="7">
        <v>0</v>
      </c>
      <c r="K328" s="7">
        <f t="shared" si="23"/>
        <v>87120.809925914145</v>
      </c>
      <c r="M328" s="7"/>
    </row>
    <row r="329" spans="5:13" x14ac:dyDescent="0.3">
      <c r="E329" s="17">
        <v>54605</v>
      </c>
      <c r="F329">
        <v>322</v>
      </c>
      <c r="G329" s="7">
        <f t="shared" si="20"/>
        <v>2448.3131822593941</v>
      </c>
      <c r="H329" s="18">
        <f t="shared" si="21"/>
        <v>496.88742523129849</v>
      </c>
      <c r="I329" s="18">
        <f t="shared" si="22"/>
        <v>1951.4257570280956</v>
      </c>
      <c r="J329" s="7">
        <v>0</v>
      </c>
      <c r="K329" s="7">
        <f t="shared" si="23"/>
        <v>85180.701468222585</v>
      </c>
      <c r="M329" s="7"/>
    </row>
    <row r="330" spans="5:13" x14ac:dyDescent="0.3">
      <c r="E330" s="17">
        <v>54636</v>
      </c>
      <c r="F330">
        <v>323</v>
      </c>
      <c r="G330" s="7">
        <f t="shared" si="20"/>
        <v>2448.3131822593941</v>
      </c>
      <c r="H330" s="18">
        <f t="shared" si="21"/>
        <v>485.50410831530127</v>
      </c>
      <c r="I330" s="18">
        <f t="shared" si="22"/>
        <v>1962.8090739440929</v>
      </c>
      <c r="J330" s="7">
        <v>0</v>
      </c>
      <c r="K330" s="7">
        <f t="shared" si="23"/>
        <v>83229.275711194496</v>
      </c>
      <c r="M330" s="7"/>
    </row>
    <row r="331" spans="5:13" x14ac:dyDescent="0.3">
      <c r="E331" s="17">
        <v>54667</v>
      </c>
      <c r="F331">
        <v>324</v>
      </c>
      <c r="G331" s="7">
        <f t="shared" si="20"/>
        <v>2448.3131822593941</v>
      </c>
      <c r="H331" s="18">
        <f t="shared" si="21"/>
        <v>474.05438871729399</v>
      </c>
      <c r="I331" s="18">
        <f t="shared" si="22"/>
        <v>1974.2587935421002</v>
      </c>
      <c r="J331" s="7">
        <v>0</v>
      </c>
      <c r="K331" s="7">
        <f t="shared" si="23"/>
        <v>81266.4666372504</v>
      </c>
      <c r="M331" s="7"/>
    </row>
    <row r="332" spans="5:13" x14ac:dyDescent="0.3">
      <c r="E332" s="17">
        <v>54697</v>
      </c>
      <c r="F332">
        <v>325</v>
      </c>
      <c r="G332" s="7">
        <f t="shared" si="20"/>
        <v>2448.3131822593941</v>
      </c>
      <c r="H332" s="18">
        <f t="shared" si="21"/>
        <v>462.53787908829844</v>
      </c>
      <c r="I332" s="18">
        <f t="shared" si="22"/>
        <v>1985.7753031710956</v>
      </c>
      <c r="J332" s="7">
        <v>0</v>
      </c>
      <c r="K332" s="7">
        <f t="shared" si="23"/>
        <v>79292.207843708296</v>
      </c>
      <c r="M332" s="7"/>
    </row>
    <row r="333" spans="5:13" x14ac:dyDescent="0.3">
      <c r="E333" s="17">
        <v>54728</v>
      </c>
      <c r="F333">
        <v>326</v>
      </c>
      <c r="G333" s="7">
        <f t="shared" si="20"/>
        <v>2448.3131822593941</v>
      </c>
      <c r="H333" s="18">
        <f t="shared" si="21"/>
        <v>450.95418981980043</v>
      </c>
      <c r="I333" s="18">
        <f t="shared" si="22"/>
        <v>1997.3589924395937</v>
      </c>
      <c r="J333" s="7">
        <v>0</v>
      </c>
      <c r="K333" s="7">
        <f t="shared" si="23"/>
        <v>77306.432540537207</v>
      </c>
      <c r="M333" s="7"/>
    </row>
    <row r="334" spans="5:13" x14ac:dyDescent="0.3">
      <c r="E334" s="17">
        <v>54758</v>
      </c>
      <c r="F334">
        <v>327</v>
      </c>
      <c r="G334" s="7">
        <f t="shared" si="20"/>
        <v>2448.3131822593941</v>
      </c>
      <c r="H334" s="18">
        <f t="shared" si="21"/>
        <v>439.30292903056943</v>
      </c>
      <c r="I334" s="18">
        <f t="shared" si="22"/>
        <v>2009.0102532288247</v>
      </c>
      <c r="J334" s="7">
        <v>0</v>
      </c>
      <c r="K334" s="7">
        <f t="shared" si="23"/>
        <v>75309.073548097615</v>
      </c>
      <c r="M334" s="7"/>
    </row>
    <row r="335" spans="5:13" x14ac:dyDescent="0.3">
      <c r="E335" s="17">
        <v>54789</v>
      </c>
      <c r="F335">
        <v>328</v>
      </c>
      <c r="G335" s="7">
        <f t="shared" si="20"/>
        <v>2448.3131822593941</v>
      </c>
      <c r="H335" s="18">
        <f t="shared" si="21"/>
        <v>427.58370255340128</v>
      </c>
      <c r="I335" s="18">
        <f t="shared" si="22"/>
        <v>2020.7294797059928</v>
      </c>
      <c r="J335" s="7">
        <v>0</v>
      </c>
      <c r="K335" s="7">
        <f t="shared" si="23"/>
        <v>73300.063294868785</v>
      </c>
      <c r="M335" s="7"/>
    </row>
    <row r="336" spans="5:13" x14ac:dyDescent="0.3">
      <c r="E336" s="17">
        <v>54820</v>
      </c>
      <c r="F336">
        <v>329</v>
      </c>
      <c r="G336" s="7">
        <f t="shared" ref="G336:G368" si="24">IF($B$10&lt;K336+(K336*($B$6/$B$8)),$B$10,K336+(K336*($B$6/$B$8)))</f>
        <v>2448.3131822593941</v>
      </c>
      <c r="H336" s="18">
        <f t="shared" ref="H336:H368" si="25">K336*$B$6/$B$8</f>
        <v>415.79611392178299</v>
      </c>
      <c r="I336" s="18">
        <f t="shared" ref="I336:I368" si="26">G336-H336</f>
        <v>2032.5170683376111</v>
      </c>
      <c r="J336" s="7">
        <v>0</v>
      </c>
      <c r="K336" s="7">
        <f t="shared" ref="K336:K368" si="27">K335-I335</f>
        <v>71279.333815162798</v>
      </c>
      <c r="M336" s="7"/>
    </row>
    <row r="337" spans="5:13" x14ac:dyDescent="0.3">
      <c r="E337" s="17">
        <v>54848</v>
      </c>
      <c r="F337">
        <v>330</v>
      </c>
      <c r="G337" s="7">
        <f t="shared" si="24"/>
        <v>2448.3131822593941</v>
      </c>
      <c r="H337" s="18">
        <f t="shared" si="25"/>
        <v>403.93976435648034</v>
      </c>
      <c r="I337" s="18">
        <f t="shared" si="26"/>
        <v>2044.3734179029138</v>
      </c>
      <c r="J337" s="7">
        <v>0</v>
      </c>
      <c r="K337" s="7">
        <f t="shared" si="27"/>
        <v>69246.816746825192</v>
      </c>
      <c r="M337" s="7"/>
    </row>
    <row r="338" spans="5:13" x14ac:dyDescent="0.3">
      <c r="E338" s="17">
        <v>54879</v>
      </c>
      <c r="F338">
        <v>331</v>
      </c>
      <c r="G338" s="7">
        <f t="shared" si="24"/>
        <v>2448.3131822593941</v>
      </c>
      <c r="H338" s="18">
        <f t="shared" si="25"/>
        <v>392.01425275204662</v>
      </c>
      <c r="I338" s="18">
        <f t="shared" si="26"/>
        <v>2056.2989295073476</v>
      </c>
      <c r="J338" s="7">
        <v>0</v>
      </c>
      <c r="K338" s="7">
        <f t="shared" si="27"/>
        <v>67202.44332892228</v>
      </c>
      <c r="M338" s="7"/>
    </row>
    <row r="339" spans="5:13" x14ac:dyDescent="0.3">
      <c r="E339" s="17">
        <v>54909</v>
      </c>
      <c r="F339">
        <v>332</v>
      </c>
      <c r="G339" s="7">
        <f t="shared" si="24"/>
        <v>2448.3131822593941</v>
      </c>
      <c r="H339" s="18">
        <f t="shared" si="25"/>
        <v>380.01917566325375</v>
      </c>
      <c r="I339" s="18">
        <f t="shared" si="26"/>
        <v>2068.2940065961402</v>
      </c>
      <c r="J339" s="7">
        <v>0</v>
      </c>
      <c r="K339" s="7">
        <f t="shared" si="27"/>
        <v>65146.14439941493</v>
      </c>
      <c r="M339" s="7"/>
    </row>
    <row r="340" spans="5:13" x14ac:dyDescent="0.3">
      <c r="E340" s="17">
        <v>54940</v>
      </c>
      <c r="F340">
        <v>333</v>
      </c>
      <c r="G340" s="7">
        <f t="shared" si="24"/>
        <v>2448.3131822593941</v>
      </c>
      <c r="H340" s="18">
        <f t="shared" si="25"/>
        <v>367.954127291443</v>
      </c>
      <c r="I340" s="18">
        <f t="shared" si="26"/>
        <v>2080.3590549679511</v>
      </c>
      <c r="J340" s="7">
        <v>0</v>
      </c>
      <c r="K340" s="7">
        <f t="shared" si="27"/>
        <v>63077.850392818793</v>
      </c>
      <c r="M340" s="7"/>
    </row>
    <row r="341" spans="5:13" x14ac:dyDescent="0.3">
      <c r="E341" s="17">
        <v>54970</v>
      </c>
      <c r="F341">
        <v>334</v>
      </c>
      <c r="G341" s="7">
        <f t="shared" si="24"/>
        <v>2448.3131822593941</v>
      </c>
      <c r="H341" s="18">
        <f t="shared" si="25"/>
        <v>355.81869947079662</v>
      </c>
      <c r="I341" s="18">
        <f t="shared" si="26"/>
        <v>2092.4944827885975</v>
      </c>
      <c r="J341" s="7">
        <v>0</v>
      </c>
      <c r="K341" s="7">
        <f t="shared" si="27"/>
        <v>60997.491337850843</v>
      </c>
      <c r="M341" s="7"/>
    </row>
    <row r="342" spans="5:13" x14ac:dyDescent="0.3">
      <c r="E342" s="17">
        <v>55001</v>
      </c>
      <c r="F342">
        <v>335</v>
      </c>
      <c r="G342" s="7">
        <f t="shared" si="24"/>
        <v>2448.3131822593941</v>
      </c>
      <c r="H342" s="18">
        <f t="shared" si="25"/>
        <v>343.6124816545298</v>
      </c>
      <c r="I342" s="18">
        <f t="shared" si="26"/>
        <v>2104.7007006048643</v>
      </c>
      <c r="J342" s="7">
        <v>0</v>
      </c>
      <c r="K342" s="7">
        <f t="shared" si="27"/>
        <v>58904.996855062243</v>
      </c>
      <c r="M342" s="7"/>
    </row>
    <row r="343" spans="5:13" x14ac:dyDescent="0.3">
      <c r="E343" s="17">
        <v>55032</v>
      </c>
      <c r="F343">
        <v>336</v>
      </c>
      <c r="G343" s="7">
        <f t="shared" si="24"/>
        <v>2448.3131822593941</v>
      </c>
      <c r="H343" s="18">
        <f t="shared" si="25"/>
        <v>331.33506090100138</v>
      </c>
      <c r="I343" s="18">
        <f t="shared" si="26"/>
        <v>2116.9781213583929</v>
      </c>
      <c r="J343" s="7">
        <v>0</v>
      </c>
      <c r="K343" s="7">
        <f t="shared" si="27"/>
        <v>56800.296154457377</v>
      </c>
      <c r="M343" s="7"/>
    </row>
    <row r="344" spans="5:13" x14ac:dyDescent="0.3">
      <c r="E344" s="17">
        <v>55062</v>
      </c>
      <c r="F344">
        <v>337</v>
      </c>
      <c r="G344" s="7">
        <f t="shared" si="24"/>
        <v>2448.3131822593941</v>
      </c>
      <c r="H344" s="18">
        <f t="shared" si="25"/>
        <v>318.98602185974408</v>
      </c>
      <c r="I344" s="18">
        <f t="shared" si="26"/>
        <v>2129.32716039965</v>
      </c>
      <c r="J344" s="7">
        <v>0</v>
      </c>
      <c r="K344" s="7">
        <f t="shared" si="27"/>
        <v>54683.318033098985</v>
      </c>
      <c r="M344" s="7"/>
    </row>
    <row r="345" spans="5:13" x14ac:dyDescent="0.3">
      <c r="E345" s="17">
        <v>55093</v>
      </c>
      <c r="F345">
        <v>338</v>
      </c>
      <c r="G345" s="7">
        <f t="shared" si="24"/>
        <v>2448.3131822593941</v>
      </c>
      <c r="H345" s="18">
        <f t="shared" si="25"/>
        <v>306.56494675741283</v>
      </c>
      <c r="I345" s="18">
        <f t="shared" si="26"/>
        <v>2141.7482355019811</v>
      </c>
      <c r="J345" s="7">
        <v>0</v>
      </c>
      <c r="K345" s="7">
        <f t="shared" si="27"/>
        <v>52553.990872699338</v>
      </c>
      <c r="M345" s="7"/>
    </row>
    <row r="346" spans="5:13" x14ac:dyDescent="0.3">
      <c r="E346" s="17">
        <v>55123</v>
      </c>
      <c r="F346">
        <v>339</v>
      </c>
      <c r="G346" s="7">
        <f t="shared" si="24"/>
        <v>2448.3131822593941</v>
      </c>
      <c r="H346" s="18">
        <f t="shared" si="25"/>
        <v>294.0714153836513</v>
      </c>
      <c r="I346" s="18">
        <f t="shared" si="26"/>
        <v>2154.241766875743</v>
      </c>
      <c r="J346" s="7">
        <v>0</v>
      </c>
      <c r="K346" s="7">
        <f t="shared" si="27"/>
        <v>50412.242637197356</v>
      </c>
      <c r="M346" s="7"/>
    </row>
    <row r="347" spans="5:13" x14ac:dyDescent="0.3">
      <c r="E347" s="17">
        <v>55154</v>
      </c>
      <c r="F347">
        <v>340</v>
      </c>
      <c r="G347" s="7">
        <f t="shared" si="24"/>
        <v>2448.3131822593941</v>
      </c>
      <c r="H347" s="18">
        <f t="shared" si="25"/>
        <v>281.5050050768761</v>
      </c>
      <c r="I347" s="18">
        <f t="shared" si="26"/>
        <v>2166.8081771825182</v>
      </c>
      <c r="J347" s="7">
        <v>0</v>
      </c>
      <c r="K347" s="7">
        <f t="shared" si="27"/>
        <v>48258.000870321615</v>
      </c>
      <c r="M347" s="7"/>
    </row>
    <row r="348" spans="5:13" x14ac:dyDescent="0.3">
      <c r="E348" s="17">
        <v>55185</v>
      </c>
      <c r="F348">
        <v>341</v>
      </c>
      <c r="G348" s="7">
        <f t="shared" si="24"/>
        <v>2448.3131822593941</v>
      </c>
      <c r="H348" s="18">
        <f t="shared" si="25"/>
        <v>268.86529070997807</v>
      </c>
      <c r="I348" s="18">
        <f t="shared" si="26"/>
        <v>2179.447891549416</v>
      </c>
      <c r="J348" s="7">
        <v>0</v>
      </c>
      <c r="K348" s="7">
        <f t="shared" si="27"/>
        <v>46091.192693139099</v>
      </c>
      <c r="M348" s="7"/>
    </row>
    <row r="349" spans="5:13" x14ac:dyDescent="0.3">
      <c r="E349" s="17">
        <v>55213</v>
      </c>
      <c r="F349">
        <v>342</v>
      </c>
      <c r="G349" s="7">
        <f t="shared" si="24"/>
        <v>2448.3131822593941</v>
      </c>
      <c r="H349" s="18">
        <f t="shared" si="25"/>
        <v>256.1518446759398</v>
      </c>
      <c r="I349" s="18">
        <f t="shared" si="26"/>
        <v>2192.1613375834545</v>
      </c>
      <c r="J349" s="7">
        <v>0</v>
      </c>
      <c r="K349" s="7">
        <f t="shared" si="27"/>
        <v>43911.744801589681</v>
      </c>
      <c r="M349" s="7"/>
    </row>
    <row r="350" spans="5:13" x14ac:dyDescent="0.3">
      <c r="E350" s="17">
        <v>55244</v>
      </c>
      <c r="F350">
        <v>343</v>
      </c>
      <c r="G350" s="7">
        <f t="shared" si="24"/>
        <v>2448.3131822593941</v>
      </c>
      <c r="H350" s="18">
        <f t="shared" si="25"/>
        <v>243.36423687336966</v>
      </c>
      <c r="I350" s="18">
        <f t="shared" si="26"/>
        <v>2204.9489453860247</v>
      </c>
      <c r="J350" s="7">
        <v>0</v>
      </c>
      <c r="K350" s="7">
        <f t="shared" si="27"/>
        <v>41719.583464006224</v>
      </c>
      <c r="M350" s="7"/>
    </row>
    <row r="351" spans="5:13" x14ac:dyDescent="0.3">
      <c r="E351" s="17">
        <v>55274</v>
      </c>
      <c r="F351">
        <v>344</v>
      </c>
      <c r="G351" s="7">
        <f t="shared" si="24"/>
        <v>2448.3131822593941</v>
      </c>
      <c r="H351" s="18">
        <f t="shared" si="25"/>
        <v>230.5020346919512</v>
      </c>
      <c r="I351" s="18">
        <f t="shared" si="26"/>
        <v>2217.8111475674427</v>
      </c>
      <c r="J351" s="7">
        <v>0</v>
      </c>
      <c r="K351" s="7">
        <f t="shared" si="27"/>
        <v>39514.634518620202</v>
      </c>
      <c r="M351" s="7"/>
    </row>
    <row r="352" spans="5:13" x14ac:dyDescent="0.3">
      <c r="E352" s="17">
        <v>55305</v>
      </c>
      <c r="F352">
        <v>345</v>
      </c>
      <c r="G352" s="7">
        <f t="shared" si="24"/>
        <v>2448.3131822593941</v>
      </c>
      <c r="H352" s="18">
        <f t="shared" si="25"/>
        <v>217.56480299780776</v>
      </c>
      <c r="I352" s="18">
        <f t="shared" si="26"/>
        <v>2230.7483792615863</v>
      </c>
      <c r="J352" s="7">
        <v>0</v>
      </c>
      <c r="K352" s="7">
        <f t="shared" si="27"/>
        <v>37296.823371052757</v>
      </c>
      <c r="M352" s="7"/>
    </row>
    <row r="353" spans="5:13" x14ac:dyDescent="0.3">
      <c r="E353" s="17">
        <v>55335</v>
      </c>
      <c r="F353">
        <v>346</v>
      </c>
      <c r="G353" s="7">
        <f t="shared" si="24"/>
        <v>2448.3131822593941</v>
      </c>
      <c r="H353" s="18">
        <f t="shared" si="25"/>
        <v>204.55210411878181</v>
      </c>
      <c r="I353" s="18">
        <f t="shared" si="26"/>
        <v>2243.7610781406124</v>
      </c>
      <c r="J353" s="7">
        <v>0</v>
      </c>
      <c r="K353" s="7">
        <f t="shared" si="27"/>
        <v>35066.074991791167</v>
      </c>
      <c r="M353" s="7"/>
    </row>
    <row r="354" spans="5:13" x14ac:dyDescent="0.3">
      <c r="E354" s="17">
        <v>55366</v>
      </c>
      <c r="F354">
        <v>347</v>
      </c>
      <c r="G354" s="7">
        <f t="shared" si="24"/>
        <v>2448.3131822593941</v>
      </c>
      <c r="H354" s="18">
        <f t="shared" si="25"/>
        <v>191.46349782962827</v>
      </c>
      <c r="I354" s="18">
        <f t="shared" si="26"/>
        <v>2256.8496844297661</v>
      </c>
      <c r="J354" s="7">
        <v>0</v>
      </c>
      <c r="K354" s="7">
        <f t="shared" si="27"/>
        <v>32822.313913650556</v>
      </c>
      <c r="M354" s="7"/>
    </row>
    <row r="355" spans="5:13" x14ac:dyDescent="0.3">
      <c r="E355" s="17">
        <v>55397</v>
      </c>
      <c r="F355">
        <v>348</v>
      </c>
      <c r="G355" s="7">
        <f t="shared" si="24"/>
        <v>2448.3131822593941</v>
      </c>
      <c r="H355" s="18">
        <f t="shared" si="25"/>
        <v>178.29854133712129</v>
      </c>
      <c r="I355" s="18">
        <f t="shared" si="26"/>
        <v>2270.014640922273</v>
      </c>
      <c r="J355" s="7">
        <v>0</v>
      </c>
      <c r="K355" s="7">
        <f t="shared" si="27"/>
        <v>30565.46422922079</v>
      </c>
      <c r="M355" s="7"/>
    </row>
    <row r="356" spans="5:13" x14ac:dyDescent="0.3">
      <c r="E356" s="17">
        <v>55427</v>
      </c>
      <c r="F356">
        <v>349</v>
      </c>
      <c r="G356" s="7">
        <f t="shared" si="24"/>
        <v>2448.3131822593941</v>
      </c>
      <c r="H356" s="18">
        <f t="shared" si="25"/>
        <v>165.05678926507468</v>
      </c>
      <c r="I356" s="18">
        <f t="shared" si="26"/>
        <v>2283.2563929943194</v>
      </c>
      <c r="J356" s="7">
        <v>0</v>
      </c>
      <c r="K356" s="7">
        <f t="shared" si="27"/>
        <v>28295.449588298517</v>
      </c>
      <c r="M356" s="7"/>
    </row>
    <row r="357" spans="5:13" x14ac:dyDescent="0.3">
      <c r="E357" s="17">
        <v>55458</v>
      </c>
      <c r="F357">
        <v>350</v>
      </c>
      <c r="G357" s="7">
        <f t="shared" si="24"/>
        <v>2448.3131822593941</v>
      </c>
      <c r="H357" s="18">
        <f t="shared" si="25"/>
        <v>151.73779363927449</v>
      </c>
      <c r="I357" s="18">
        <f t="shared" si="26"/>
        <v>2296.5753886201196</v>
      </c>
      <c r="J357" s="7">
        <v>0</v>
      </c>
      <c r="K357" s="7">
        <f t="shared" si="27"/>
        <v>26012.193195304197</v>
      </c>
      <c r="M357" s="7"/>
    </row>
    <row r="358" spans="5:13" x14ac:dyDescent="0.3">
      <c r="E358" s="17">
        <v>55488</v>
      </c>
      <c r="F358">
        <v>351</v>
      </c>
      <c r="G358" s="7">
        <f t="shared" si="24"/>
        <v>2448.3131822593941</v>
      </c>
      <c r="H358" s="18">
        <f t="shared" si="25"/>
        <v>138.3411038723238</v>
      </c>
      <c r="I358" s="18">
        <f t="shared" si="26"/>
        <v>2309.9720783870703</v>
      </c>
      <c r="J358" s="7">
        <v>0</v>
      </c>
      <c r="K358" s="7">
        <f t="shared" si="27"/>
        <v>23715.617806684077</v>
      </c>
      <c r="M358" s="7"/>
    </row>
    <row r="359" spans="5:13" x14ac:dyDescent="0.3">
      <c r="E359" s="17">
        <v>55519</v>
      </c>
      <c r="F359">
        <v>352</v>
      </c>
      <c r="G359" s="7">
        <f t="shared" si="24"/>
        <v>2448.3131822593941</v>
      </c>
      <c r="H359" s="18">
        <f t="shared" si="25"/>
        <v>124.86626674839921</v>
      </c>
      <c r="I359" s="18">
        <f t="shared" si="26"/>
        <v>2323.446915510995</v>
      </c>
      <c r="J359" s="7">
        <v>0</v>
      </c>
      <c r="K359" s="7">
        <f t="shared" si="27"/>
        <v>21405.645728297008</v>
      </c>
      <c r="M359" s="7"/>
    </row>
    <row r="360" spans="5:13" x14ac:dyDescent="0.3">
      <c r="E360" s="17">
        <v>55550</v>
      </c>
      <c r="F360">
        <v>353</v>
      </c>
      <c r="G360" s="7">
        <f t="shared" si="24"/>
        <v>2448.3131822593941</v>
      </c>
      <c r="H360" s="18">
        <f t="shared" si="25"/>
        <v>111.31282640791842</v>
      </c>
      <c r="I360" s="18">
        <f t="shared" si="26"/>
        <v>2337.0003558514759</v>
      </c>
      <c r="J360" s="7">
        <v>0</v>
      </c>
      <c r="K360" s="7">
        <f t="shared" si="27"/>
        <v>19082.198812786013</v>
      </c>
      <c r="M360" s="7"/>
    </row>
    <row r="361" spans="5:13" x14ac:dyDescent="0.3">
      <c r="E361" s="17">
        <v>55579</v>
      </c>
      <c r="F361">
        <v>354</v>
      </c>
      <c r="G361" s="7">
        <f t="shared" si="24"/>
        <v>2448.3131822593941</v>
      </c>
      <c r="H361" s="18">
        <f t="shared" si="25"/>
        <v>97.680324332118133</v>
      </c>
      <c r="I361" s="18">
        <f t="shared" si="26"/>
        <v>2350.6328579272758</v>
      </c>
      <c r="J361" s="7">
        <v>0</v>
      </c>
      <c r="K361" s="7">
        <f t="shared" si="27"/>
        <v>16745.198456934537</v>
      </c>
      <c r="M361" s="7"/>
    </row>
    <row r="362" spans="5:13" x14ac:dyDescent="0.3">
      <c r="E362" s="17">
        <v>55610</v>
      </c>
      <c r="F362">
        <v>355</v>
      </c>
      <c r="G362" s="7">
        <f t="shared" si="24"/>
        <v>2448.3131822593941</v>
      </c>
      <c r="H362" s="18">
        <f t="shared" si="25"/>
        <v>83.968299327542368</v>
      </c>
      <c r="I362" s="18">
        <f t="shared" si="26"/>
        <v>2364.3448829318518</v>
      </c>
      <c r="J362" s="7">
        <v>0</v>
      </c>
      <c r="K362" s="7">
        <f t="shared" si="27"/>
        <v>14394.565599007261</v>
      </c>
      <c r="M362" s="7"/>
    </row>
    <row r="363" spans="5:13" x14ac:dyDescent="0.3">
      <c r="E363" s="17">
        <v>55640</v>
      </c>
      <c r="F363">
        <v>356</v>
      </c>
      <c r="G363" s="7">
        <f t="shared" si="24"/>
        <v>2448.3131822593941</v>
      </c>
      <c r="H363" s="18">
        <f t="shared" si="25"/>
        <v>70.176287510439906</v>
      </c>
      <c r="I363" s="18">
        <f t="shared" si="26"/>
        <v>2378.1368947489541</v>
      </c>
      <c r="J363" s="7">
        <v>0</v>
      </c>
      <c r="K363" s="7">
        <f t="shared" si="27"/>
        <v>12030.22071607541</v>
      </c>
      <c r="M363" s="7"/>
    </row>
    <row r="364" spans="5:13" x14ac:dyDescent="0.3">
      <c r="E364" s="17">
        <v>55671</v>
      </c>
      <c r="F364">
        <v>357</v>
      </c>
      <c r="G364" s="7">
        <f t="shared" si="24"/>
        <v>2448.3131822593941</v>
      </c>
      <c r="H364" s="18">
        <f t="shared" si="25"/>
        <v>56.303822291070993</v>
      </c>
      <c r="I364" s="18">
        <f t="shared" si="26"/>
        <v>2392.0093599683232</v>
      </c>
      <c r="J364" s="7">
        <v>0</v>
      </c>
      <c r="K364" s="7">
        <f t="shared" si="27"/>
        <v>9652.083821326456</v>
      </c>
      <c r="M364" s="7"/>
    </row>
    <row r="365" spans="5:13" x14ac:dyDescent="0.3">
      <c r="E365" s="17">
        <v>55701</v>
      </c>
      <c r="F365">
        <v>358</v>
      </c>
      <c r="G365" s="7">
        <f t="shared" si="24"/>
        <v>2448.3131822593941</v>
      </c>
      <c r="H365" s="18">
        <f t="shared" si="25"/>
        <v>42.350434357922445</v>
      </c>
      <c r="I365" s="18">
        <f t="shared" si="26"/>
        <v>2405.9627479014716</v>
      </c>
      <c r="J365" s="7">
        <v>0</v>
      </c>
      <c r="K365" s="7">
        <f t="shared" si="27"/>
        <v>7260.0744613581328</v>
      </c>
      <c r="M365" s="7"/>
    </row>
    <row r="366" spans="5:13" x14ac:dyDescent="0.3">
      <c r="E366" s="17">
        <v>55732</v>
      </c>
      <c r="F366">
        <v>359</v>
      </c>
      <c r="G366" s="7">
        <f t="shared" si="24"/>
        <v>2448.3131822593941</v>
      </c>
      <c r="H366" s="18">
        <f t="shared" si="25"/>
        <v>28.315651661830525</v>
      </c>
      <c r="I366" s="18">
        <f t="shared" si="26"/>
        <v>2419.9975305975636</v>
      </c>
      <c r="J366" s="7">
        <v>0</v>
      </c>
      <c r="K366" s="7">
        <f t="shared" si="27"/>
        <v>4854.1117134566612</v>
      </c>
      <c r="M366" s="7"/>
    </row>
    <row r="367" spans="5:13" x14ac:dyDescent="0.3">
      <c r="E367" s="17">
        <v>55763</v>
      </c>
      <c r="F367">
        <v>360</v>
      </c>
      <c r="G367" s="7">
        <f t="shared" si="24"/>
        <v>2448.313182259109</v>
      </c>
      <c r="H367" s="18">
        <f t="shared" si="25"/>
        <v>14.198999400011404</v>
      </c>
      <c r="I367" s="18">
        <f t="shared" si="26"/>
        <v>2434.1141828590976</v>
      </c>
      <c r="J367" s="7">
        <v>0</v>
      </c>
      <c r="K367" s="7">
        <f t="shared" si="27"/>
        <v>2434.1141828590976</v>
      </c>
      <c r="M367" s="7"/>
    </row>
    <row r="368" spans="5:13" x14ac:dyDescent="0.3">
      <c r="E368" s="17">
        <v>55793</v>
      </c>
      <c r="F368">
        <v>361</v>
      </c>
      <c r="G368" s="7">
        <f t="shared" si="24"/>
        <v>0</v>
      </c>
      <c r="H368" s="18">
        <f t="shared" si="25"/>
        <v>0</v>
      </c>
      <c r="I368" s="18">
        <f t="shared" si="26"/>
        <v>0</v>
      </c>
      <c r="J368" s="7">
        <v>0</v>
      </c>
      <c r="K368" s="7">
        <f t="shared" si="27"/>
        <v>0</v>
      </c>
      <c r="M368" s="7"/>
    </row>
    <row r="369" spans="13:13" x14ac:dyDescent="0.3">
      <c r="M369" s="7"/>
    </row>
    <row r="370" spans="13:13" x14ac:dyDescent="0.3">
      <c r="M370" s="7"/>
    </row>
    <row r="371" spans="13:13" x14ac:dyDescent="0.3">
      <c r="M371" s="7"/>
    </row>
    <row r="372" spans="13:13" x14ac:dyDescent="0.3">
      <c r="M372" s="7"/>
    </row>
    <row r="373" spans="13:13" x14ac:dyDescent="0.3">
      <c r="M373" s="7"/>
    </row>
    <row r="374" spans="13:13" x14ac:dyDescent="0.3">
      <c r="M374" s="7"/>
    </row>
    <row r="375" spans="13:13" x14ac:dyDescent="0.3">
      <c r="M375" s="7"/>
    </row>
    <row r="376" spans="13:13" x14ac:dyDescent="0.3">
      <c r="M376" s="7"/>
    </row>
    <row r="377" spans="13:13" x14ac:dyDescent="0.3">
      <c r="M377" s="7"/>
    </row>
    <row r="378" spans="13:13" x14ac:dyDescent="0.3">
      <c r="M378" s="7"/>
    </row>
    <row r="379" spans="13:13" x14ac:dyDescent="0.3">
      <c r="M379" s="7"/>
    </row>
    <row r="380" spans="13:13" x14ac:dyDescent="0.3">
      <c r="M380" s="7"/>
    </row>
    <row r="381" spans="13:13" x14ac:dyDescent="0.3">
      <c r="M381" s="7"/>
    </row>
    <row r="382" spans="13:13" x14ac:dyDescent="0.3">
      <c r="M382" s="7"/>
    </row>
  </sheetData>
  <sheetProtection algorithmName="SHA-512" hashValue="wy/mcgTpXgdGn/8H9Ed5cWHvKb6Q1n5ooUbkHF0tKlNkaRydRSRMT4MR0kLNBmVtLlA3wMqYBwgE0aANsGm4qA==" saltValue="fkBVuOzWI95zs8UKkfDoTw==" spinCount="100000" sheet="1" objects="1" scenarios="1" selectLockedCells="1"/>
  <pageMargins left="0.7" right="0.7" top="0.75" bottom="0.75" header="0.3" footer="0.3"/>
  <customProperties>
    <customPr name="SSC_SHEET_GU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6A28-ADD6-4D03-B2C0-9644E02F6768}">
  <dimension ref="C1:E10"/>
  <sheetViews>
    <sheetView workbookViewId="0"/>
  </sheetViews>
  <sheetFormatPr defaultColWidth="8.88671875" defaultRowHeight="14.4" x14ac:dyDescent="0.3"/>
  <sheetData>
    <row r="1" spans="3:5" x14ac:dyDescent="0.3">
      <c r="C1" t="s">
        <v>191</v>
      </c>
      <c r="D1" t="s">
        <v>192</v>
      </c>
      <c r="E1" t="s">
        <v>177</v>
      </c>
    </row>
    <row r="2" spans="3:5" x14ac:dyDescent="0.3">
      <c r="C2" t="s">
        <v>180</v>
      </c>
    </row>
    <row r="3" spans="3:5" x14ac:dyDescent="0.3">
      <c r="C3" t="s">
        <v>181</v>
      </c>
    </row>
    <row r="4" spans="3:5" x14ac:dyDescent="0.3">
      <c r="C4" t="s">
        <v>182</v>
      </c>
    </row>
    <row r="5" spans="3:5" x14ac:dyDescent="0.3">
      <c r="C5" t="s">
        <v>183</v>
      </c>
    </row>
    <row r="6" spans="3:5" x14ac:dyDescent="0.3">
      <c r="C6" t="s">
        <v>184</v>
      </c>
    </row>
    <row r="7" spans="3:5" x14ac:dyDescent="0.3">
      <c r="C7" t="s">
        <v>185</v>
      </c>
    </row>
    <row r="8" spans="3:5" x14ac:dyDescent="0.3">
      <c r="C8" t="s">
        <v>186</v>
      </c>
    </row>
    <row r="9" spans="3:5" x14ac:dyDescent="0.3">
      <c r="C9" t="s">
        <v>188</v>
      </c>
    </row>
    <row r="10" spans="3:5" x14ac:dyDescent="0.3">
      <c r="C10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9"/>
  <sheetViews>
    <sheetView zoomScale="90" zoomScaleNormal="90" workbookViewId="0">
      <selection activeCell="C64" sqref="C64"/>
    </sheetView>
  </sheetViews>
  <sheetFormatPr defaultColWidth="8.88671875" defaultRowHeight="14.4" x14ac:dyDescent="0.3"/>
  <cols>
    <col min="1" max="1" width="44.109375" customWidth="1"/>
    <col min="2" max="2" width="17.88671875" customWidth="1"/>
    <col min="3" max="3" width="16" customWidth="1"/>
    <col min="4" max="4" width="16.88671875" style="7" bestFit="1" customWidth="1"/>
    <col min="5" max="5" width="7.33203125" customWidth="1"/>
    <col min="6" max="6" width="25.44140625" style="7" customWidth="1"/>
  </cols>
  <sheetData>
    <row r="1" spans="1:6" ht="22.35" customHeight="1" x14ac:dyDescent="0.35">
      <c r="A1" s="182" t="s">
        <v>92</v>
      </c>
      <c r="B1" s="183"/>
      <c r="C1" s="183"/>
      <c r="D1" s="184"/>
      <c r="E1" s="12"/>
      <c r="F1"/>
    </row>
    <row r="2" spans="1:6" ht="22.35" customHeight="1" x14ac:dyDescent="0.35">
      <c r="A2" s="179" t="s">
        <v>94</v>
      </c>
      <c r="B2" s="216"/>
      <c r="C2" s="208"/>
      <c r="D2" s="157" t="s">
        <v>7</v>
      </c>
      <c r="E2" s="12"/>
      <c r="F2"/>
    </row>
    <row r="3" spans="1:6" ht="22.35" customHeight="1" x14ac:dyDescent="0.35">
      <c r="A3" s="40" t="s">
        <v>95</v>
      </c>
      <c r="B3" s="230" t="s">
        <v>258</v>
      </c>
      <c r="C3" s="231">
        <v>80</v>
      </c>
      <c r="D3" s="158">
        <f>C4*C3</f>
        <v>1280</v>
      </c>
      <c r="E3" s="12"/>
      <c r="F3"/>
    </row>
    <row r="4" spans="1:6" ht="22.35" customHeight="1" x14ac:dyDescent="0.35">
      <c r="A4" s="40" t="s">
        <v>96</v>
      </c>
      <c r="B4" s="230" t="s">
        <v>259</v>
      </c>
      <c r="C4" s="105">
        <v>16</v>
      </c>
      <c r="D4" s="159"/>
      <c r="E4" s="12"/>
      <c r="F4"/>
    </row>
    <row r="5" spans="1:6" ht="22.35" customHeight="1" x14ac:dyDescent="0.35">
      <c r="A5" s="40" t="s">
        <v>251</v>
      </c>
      <c r="B5" s="230" t="s">
        <v>7</v>
      </c>
      <c r="C5" s="151"/>
      <c r="D5" s="160">
        <v>0</v>
      </c>
      <c r="E5" s="12"/>
      <c r="F5"/>
    </row>
    <row r="6" spans="1:6" ht="22.35" customHeight="1" x14ac:dyDescent="0.35">
      <c r="A6" s="40" t="s">
        <v>261</v>
      </c>
      <c r="B6" s="153" t="s">
        <v>260</v>
      </c>
      <c r="C6" s="149">
        <v>0.1</v>
      </c>
      <c r="D6" s="158">
        <f>-C6*D3</f>
        <v>-128</v>
      </c>
      <c r="E6" s="12"/>
      <c r="F6"/>
    </row>
    <row r="7" spans="1:6" ht="22.35" customHeight="1" x14ac:dyDescent="0.35">
      <c r="A7" s="40" t="s">
        <v>262</v>
      </c>
      <c r="B7" s="153" t="s">
        <v>57</v>
      </c>
      <c r="C7" s="150">
        <v>100</v>
      </c>
      <c r="D7" s="158">
        <f>C7/-12</f>
        <v>-8.3333333333333339</v>
      </c>
      <c r="E7" s="12"/>
      <c r="F7"/>
    </row>
    <row r="8" spans="1:6" ht="22.35" customHeight="1" x14ac:dyDescent="0.35">
      <c r="A8" s="40" t="s">
        <v>274</v>
      </c>
      <c r="B8" s="153" t="s">
        <v>57</v>
      </c>
      <c r="C8" s="150">
        <v>0</v>
      </c>
      <c r="D8" s="158">
        <f>C8/-12</f>
        <v>0</v>
      </c>
      <c r="E8" s="12"/>
      <c r="F8"/>
    </row>
    <row r="9" spans="1:6" ht="22.35" customHeight="1" x14ac:dyDescent="0.35">
      <c r="A9" s="40" t="s">
        <v>257</v>
      </c>
      <c r="B9" s="153"/>
      <c r="C9" s="152">
        <v>0.153</v>
      </c>
      <c r="D9" s="158">
        <f>-(D5*C9)</f>
        <v>0</v>
      </c>
      <c r="E9" s="12"/>
      <c r="F9"/>
    </row>
    <row r="10" spans="1:6" ht="22.35" customHeight="1" x14ac:dyDescent="0.35">
      <c r="A10" s="40" t="s">
        <v>263</v>
      </c>
      <c r="B10" s="230" t="s">
        <v>57</v>
      </c>
      <c r="C10" s="232">
        <v>250</v>
      </c>
      <c r="D10" s="158">
        <f>C10/12</f>
        <v>20.833333333333332</v>
      </c>
      <c r="E10" s="12"/>
      <c r="F10"/>
    </row>
    <row r="11" spans="1:6" ht="22.35" customHeight="1" x14ac:dyDescent="0.35">
      <c r="A11" s="40" t="s">
        <v>97</v>
      </c>
      <c r="B11" s="208"/>
      <c r="C11" s="208"/>
      <c r="D11" s="160">
        <v>0</v>
      </c>
      <c r="E11" s="12"/>
      <c r="F11"/>
    </row>
    <row r="12" spans="1:6" ht="22.35" customHeight="1" thickBot="1" x14ac:dyDescent="0.4">
      <c r="A12" s="40"/>
      <c r="B12" s="208"/>
      <c r="C12" s="208"/>
      <c r="D12" s="41"/>
      <c r="E12" s="12"/>
      <c r="F12"/>
    </row>
    <row r="13" spans="1:6" ht="22.35" customHeight="1" x14ac:dyDescent="0.35">
      <c r="A13" s="186" t="s">
        <v>275</v>
      </c>
      <c r="B13" s="187"/>
      <c r="C13" s="24"/>
      <c r="D13" s="161"/>
      <c r="E13" s="12"/>
      <c r="F13"/>
    </row>
    <row r="14" spans="1:6" ht="22.35" customHeight="1" x14ac:dyDescent="0.35">
      <c r="A14" s="185" t="s">
        <v>53</v>
      </c>
      <c r="B14" s="233"/>
      <c r="C14" s="234"/>
      <c r="D14" s="162">
        <v>994</v>
      </c>
      <c r="E14" s="12"/>
      <c r="F14"/>
    </row>
    <row r="15" spans="1:6" ht="22.35" customHeight="1" x14ac:dyDescent="0.35">
      <c r="A15" s="188" t="s">
        <v>249</v>
      </c>
      <c r="B15" s="235"/>
      <c r="C15" s="236"/>
      <c r="D15" s="163">
        <f>IF(D37+D11+D41&gt;0,D37+D11+D41,0)</f>
        <v>0</v>
      </c>
      <c r="E15" s="12"/>
      <c r="F15"/>
    </row>
    <row r="16" spans="1:6" ht="22.35" customHeight="1" x14ac:dyDescent="0.35">
      <c r="A16" s="189" t="s">
        <v>64</v>
      </c>
      <c r="B16" s="237"/>
      <c r="C16" s="26">
        <v>20</v>
      </c>
      <c r="D16" s="164">
        <f>IF(AND(D15&lt;C16,D15&gt;1),D15,IF(D15=0,0,C16))</f>
        <v>0</v>
      </c>
      <c r="E16" s="12"/>
      <c r="F16"/>
    </row>
    <row r="17" spans="1:6" ht="22.35" customHeight="1" x14ac:dyDescent="0.35">
      <c r="A17" s="191" t="s">
        <v>248</v>
      </c>
      <c r="B17" s="192"/>
      <c r="C17" s="156"/>
      <c r="D17" s="165">
        <f>IF(D15&gt;=D16,D15-D16,D15)</f>
        <v>0</v>
      </c>
      <c r="E17" s="12"/>
      <c r="F17"/>
    </row>
    <row r="18" spans="1:6" ht="22.35" customHeight="1" x14ac:dyDescent="0.35">
      <c r="A18" s="190" t="s">
        <v>250</v>
      </c>
      <c r="B18" s="214"/>
      <c r="C18" s="234"/>
      <c r="D18" s="163">
        <f>D3+D5</f>
        <v>1280</v>
      </c>
      <c r="E18" s="12"/>
      <c r="F18"/>
    </row>
    <row r="19" spans="1:6" ht="22.35" customHeight="1" x14ac:dyDescent="0.35">
      <c r="A19" s="185" t="s">
        <v>256</v>
      </c>
      <c r="B19" s="233"/>
      <c r="C19" s="234"/>
      <c r="D19" s="166">
        <v>0</v>
      </c>
      <c r="E19" s="25"/>
      <c r="F19"/>
    </row>
    <row r="20" spans="1:6" ht="22.35" customHeight="1" x14ac:dyDescent="0.35">
      <c r="A20" s="185" t="s">
        <v>98</v>
      </c>
      <c r="B20" s="233"/>
      <c r="C20" s="234"/>
      <c r="D20" s="163">
        <f>IF(D15&gt;=C16,0,IF((D18-D19)&gt;=(C16-D15),C16-D15,D18-D19))</f>
        <v>20</v>
      </c>
      <c r="E20" s="25"/>
      <c r="F20"/>
    </row>
    <row r="21" spans="1:6" ht="22.35" customHeight="1" x14ac:dyDescent="0.35">
      <c r="A21" s="185" t="s">
        <v>255</v>
      </c>
      <c r="B21" s="233"/>
      <c r="C21" s="26">
        <v>65</v>
      </c>
      <c r="D21" s="162">
        <f>IF((D18-D19-D20)&gt;=C21,C21,D18-D19-D20)</f>
        <v>65</v>
      </c>
      <c r="E21" s="25"/>
      <c r="F21"/>
    </row>
    <row r="22" spans="1:6" ht="22.35" customHeight="1" x14ac:dyDescent="0.35">
      <c r="A22" s="185" t="s">
        <v>252</v>
      </c>
      <c r="B22" s="233"/>
      <c r="C22" s="234"/>
      <c r="D22" s="166">
        <v>0</v>
      </c>
      <c r="E22" s="25"/>
      <c r="F22"/>
    </row>
    <row r="23" spans="1:6" ht="22.35" customHeight="1" x14ac:dyDescent="0.35">
      <c r="A23" s="185" t="s">
        <v>253</v>
      </c>
      <c r="B23" s="233"/>
      <c r="C23" s="234"/>
      <c r="D23" s="166">
        <v>0</v>
      </c>
      <c r="E23" s="12"/>
      <c r="F23"/>
    </row>
    <row r="24" spans="1:6" ht="22.35" customHeight="1" x14ac:dyDescent="0.35">
      <c r="A24" s="185" t="s">
        <v>254</v>
      </c>
      <c r="B24" s="233"/>
      <c r="C24" s="234"/>
      <c r="D24" s="166">
        <v>0</v>
      </c>
      <c r="E24" s="12"/>
      <c r="F24"/>
    </row>
    <row r="25" spans="1:6" ht="22.35" customHeight="1" x14ac:dyDescent="0.35">
      <c r="A25" s="185" t="s">
        <v>267</v>
      </c>
      <c r="B25" s="233"/>
      <c r="C25" s="238"/>
      <c r="D25" s="167">
        <f>IF((D18-SUM(D19:D24))&lt;0,0,D18-SUM(D19:D24))</f>
        <v>1195</v>
      </c>
      <c r="E25" s="12"/>
      <c r="F25"/>
    </row>
    <row r="26" spans="1:6" ht="22.35" customHeight="1" x14ac:dyDescent="0.35">
      <c r="A26" s="185" t="s">
        <v>265</v>
      </c>
      <c r="B26" s="233"/>
      <c r="C26" s="234"/>
      <c r="D26" s="163">
        <f>D25/2</f>
        <v>597.5</v>
      </c>
      <c r="E26" s="12"/>
      <c r="F26"/>
    </row>
    <row r="27" spans="1:6" ht="22.35" customHeight="1" x14ac:dyDescent="0.35">
      <c r="A27" s="185" t="s">
        <v>266</v>
      </c>
      <c r="B27" s="233"/>
      <c r="C27" s="234"/>
      <c r="D27" s="166">
        <v>0</v>
      </c>
      <c r="E27" s="12"/>
      <c r="F27"/>
    </row>
    <row r="28" spans="1:6" ht="22.35" customHeight="1" x14ac:dyDescent="0.35">
      <c r="A28" s="195" t="s">
        <v>264</v>
      </c>
      <c r="B28" s="196"/>
      <c r="C28" s="156"/>
      <c r="D28" s="177">
        <f>D26-D27</f>
        <v>597.5</v>
      </c>
      <c r="E28" s="12"/>
      <c r="F28"/>
    </row>
    <row r="29" spans="1:6" ht="22.35" customHeight="1" x14ac:dyDescent="0.35">
      <c r="A29" s="185" t="s">
        <v>268</v>
      </c>
      <c r="B29" s="233"/>
      <c r="C29" s="239"/>
      <c r="D29" s="163">
        <f>D17+D28</f>
        <v>597.5</v>
      </c>
      <c r="E29" s="12"/>
      <c r="F29"/>
    </row>
    <row r="30" spans="1:6" ht="22.35" customHeight="1" x14ac:dyDescent="0.35">
      <c r="A30" s="185" t="s">
        <v>189</v>
      </c>
      <c r="B30" s="233"/>
      <c r="C30" s="234"/>
      <c r="D30" s="166">
        <v>150</v>
      </c>
      <c r="E30" s="12"/>
      <c r="F30" s="28"/>
    </row>
    <row r="31" spans="1:6" ht="22.35" customHeight="1" thickBot="1" x14ac:dyDescent="0.4">
      <c r="A31" s="193" t="s">
        <v>269</v>
      </c>
      <c r="B31" s="194"/>
      <c r="C31" s="29"/>
      <c r="D31" s="168">
        <f>IF((D29-D30)&lt;=0,0,-(D29-D30))</f>
        <v>-447.5</v>
      </c>
      <c r="E31" s="12"/>
      <c r="F31"/>
    </row>
    <row r="32" spans="1:6" ht="22.35" customHeight="1" x14ac:dyDescent="0.35">
      <c r="A32" s="180" t="s">
        <v>270</v>
      </c>
      <c r="B32" s="181"/>
      <c r="C32" s="234"/>
      <c r="D32" s="164">
        <f>D14+D31</f>
        <v>546.5</v>
      </c>
      <c r="E32" s="12"/>
      <c r="F32"/>
    </row>
    <row r="33" spans="1:6" ht="22.35" customHeight="1" x14ac:dyDescent="0.35">
      <c r="A33" s="131" t="s">
        <v>272</v>
      </c>
      <c r="B33" s="234"/>
      <c r="C33" s="234"/>
      <c r="D33" s="169">
        <f>IF(D32&gt;=0,D32,0)</f>
        <v>546.5</v>
      </c>
      <c r="E33" s="12"/>
      <c r="F33"/>
    </row>
    <row r="34" spans="1:6" ht="22.35" customHeight="1" thickBot="1" x14ac:dyDescent="0.4">
      <c r="A34" s="155" t="s">
        <v>271</v>
      </c>
      <c r="B34" s="29"/>
      <c r="C34" s="31">
        <v>87</v>
      </c>
      <c r="D34" s="170">
        <f>IF(D32&gt;0,C34,IF(D32&lt;-C34,0,C34+D32))</f>
        <v>87</v>
      </c>
      <c r="E34" s="12"/>
      <c r="F34"/>
    </row>
    <row r="35" spans="1:6" ht="22.35" customHeight="1" x14ac:dyDescent="0.35">
      <c r="A35" s="40"/>
      <c r="B35" s="208"/>
      <c r="C35" s="208"/>
      <c r="D35" s="41"/>
      <c r="E35" s="12"/>
      <c r="F35"/>
    </row>
    <row r="36" spans="1:6" ht="22.35" customHeight="1" x14ac:dyDescent="0.35">
      <c r="A36" s="40" t="s">
        <v>273</v>
      </c>
      <c r="B36" s="208"/>
      <c r="C36" s="208"/>
      <c r="D36" s="171">
        <f>D33+D34</f>
        <v>633.5</v>
      </c>
      <c r="E36" s="12"/>
      <c r="F36"/>
    </row>
    <row r="37" spans="1:6" ht="18" x14ac:dyDescent="0.35">
      <c r="A37" s="40" t="s">
        <v>12</v>
      </c>
      <c r="B37" s="208"/>
      <c r="C37" s="208"/>
      <c r="D37" s="172">
        <v>0</v>
      </c>
      <c r="E37" s="12"/>
      <c r="F37"/>
    </row>
    <row r="38" spans="1:6" ht="18" x14ac:dyDescent="0.35">
      <c r="A38" s="40" t="s">
        <v>63</v>
      </c>
      <c r="B38" s="208"/>
      <c r="C38" s="23">
        <v>298</v>
      </c>
      <c r="D38" s="160"/>
      <c r="E38" s="12"/>
      <c r="F38"/>
    </row>
    <row r="39" spans="1:6" ht="18" x14ac:dyDescent="0.35">
      <c r="A39" s="40" t="s">
        <v>14</v>
      </c>
      <c r="B39" s="230" t="s">
        <v>57</v>
      </c>
      <c r="C39" s="240">
        <v>100</v>
      </c>
      <c r="D39" s="173">
        <f>C39/12</f>
        <v>8.3333333333333339</v>
      </c>
      <c r="E39" s="12"/>
      <c r="F39"/>
    </row>
    <row r="40" spans="1:6" ht="18" x14ac:dyDescent="0.35">
      <c r="A40" s="40"/>
      <c r="B40" s="208"/>
      <c r="C40" s="208"/>
      <c r="D40" s="174"/>
      <c r="E40" s="12"/>
      <c r="F40"/>
    </row>
    <row r="41" spans="1:6" ht="18" x14ac:dyDescent="0.35">
      <c r="A41" s="40" t="s">
        <v>70</v>
      </c>
      <c r="B41" s="208"/>
      <c r="C41" s="208"/>
      <c r="D41" s="173">
        <f>Savings!C21</f>
        <v>0</v>
      </c>
      <c r="E41" s="12"/>
      <c r="F41"/>
    </row>
    <row r="42" spans="1:6" ht="18" x14ac:dyDescent="0.35">
      <c r="A42" s="40"/>
      <c r="B42" s="208"/>
      <c r="C42" s="208"/>
      <c r="D42" s="174"/>
      <c r="E42" s="12"/>
      <c r="F42"/>
    </row>
    <row r="43" spans="1:6" ht="18" x14ac:dyDescent="0.35">
      <c r="A43" s="40" t="s">
        <v>58</v>
      </c>
      <c r="B43" s="208"/>
      <c r="C43" s="241"/>
      <c r="D43" s="175">
        <f>SUM(D3:D11)+SUM(D36:D41)</f>
        <v>1806.3333333333335</v>
      </c>
      <c r="E43" s="12"/>
      <c r="F43"/>
    </row>
    <row r="44" spans="1:6" ht="18" x14ac:dyDescent="0.35">
      <c r="A44" s="40"/>
      <c r="B44" s="208"/>
      <c r="C44" s="208"/>
      <c r="D44" s="174"/>
      <c r="E44" s="12"/>
      <c r="F44"/>
    </row>
    <row r="45" spans="1:6" ht="18" x14ac:dyDescent="0.35">
      <c r="A45" s="40" t="s">
        <v>99</v>
      </c>
      <c r="B45" s="208"/>
      <c r="C45" s="208"/>
      <c r="D45" s="158">
        <f>'Housing Subsidy'!D52</f>
        <v>402.7</v>
      </c>
      <c r="E45" s="12"/>
      <c r="F45"/>
    </row>
    <row r="46" spans="1:6" ht="18" x14ac:dyDescent="0.35">
      <c r="A46" s="146" t="s">
        <v>190</v>
      </c>
      <c r="B46" s="208"/>
      <c r="C46" s="34">
        <v>0.3</v>
      </c>
      <c r="D46" s="173">
        <f>(IF(D45&gt;0,0,IF(C47&gt;D43,C48-(D43*C46),0)))</f>
        <v>0</v>
      </c>
      <c r="E46" s="12"/>
      <c r="F46"/>
    </row>
    <row r="47" spans="1:6" ht="18" x14ac:dyDescent="0.35">
      <c r="A47" s="40" t="s">
        <v>100</v>
      </c>
      <c r="B47" s="211" t="s">
        <v>56</v>
      </c>
      <c r="C47" s="107"/>
      <c r="D47" s="41"/>
      <c r="E47" s="12"/>
      <c r="F47"/>
    </row>
    <row r="48" spans="1:6" ht="18" x14ac:dyDescent="0.35">
      <c r="A48" s="40" t="s">
        <v>101</v>
      </c>
      <c r="B48" s="211" t="s">
        <v>62</v>
      </c>
      <c r="C48" s="107"/>
      <c r="D48" s="176"/>
      <c r="E48" s="12"/>
      <c r="F48"/>
    </row>
    <row r="49" spans="1:7" ht="18" x14ac:dyDescent="0.35">
      <c r="A49" s="40" t="s">
        <v>68</v>
      </c>
      <c r="B49" s="208"/>
      <c r="C49" s="22"/>
      <c r="D49" s="173">
        <f>Savings!C16</f>
        <v>0</v>
      </c>
      <c r="E49" s="12"/>
      <c r="F49"/>
    </row>
    <row r="50" spans="1:7" ht="18" x14ac:dyDescent="0.35">
      <c r="A50" s="40"/>
      <c r="B50" s="208"/>
      <c r="C50" s="208"/>
      <c r="D50" s="176"/>
      <c r="E50" s="12"/>
      <c r="F50"/>
    </row>
    <row r="51" spans="1:7" ht="18" x14ac:dyDescent="0.35">
      <c r="A51" s="40" t="s">
        <v>59</v>
      </c>
      <c r="B51" s="208"/>
      <c r="C51" s="208"/>
      <c r="D51" s="175">
        <f>D46+D45+D43+D49</f>
        <v>2209.0333333333333</v>
      </c>
      <c r="E51" s="12"/>
      <c r="F51"/>
    </row>
    <row r="52" spans="1:7" ht="18" x14ac:dyDescent="0.35">
      <c r="A52" s="40"/>
      <c r="B52" s="208"/>
      <c r="C52" s="208"/>
      <c r="D52" s="174"/>
      <c r="E52" s="12"/>
      <c r="F52"/>
    </row>
    <row r="53" spans="1:7" ht="23.4" x14ac:dyDescent="0.45">
      <c r="A53" s="147" t="s">
        <v>75</v>
      </c>
      <c r="B53" s="35"/>
      <c r="C53" s="35">
        <v>1690</v>
      </c>
      <c r="D53" s="41"/>
      <c r="E53" s="12"/>
      <c r="F53" s="3"/>
      <c r="G53" s="3"/>
    </row>
    <row r="54" spans="1:7" ht="23.4" x14ac:dyDescent="0.45">
      <c r="A54" s="207" t="s">
        <v>277</v>
      </c>
      <c r="B54" s="35"/>
      <c r="C54" s="242">
        <f>D3+D41</f>
        <v>1280</v>
      </c>
      <c r="D54" s="41"/>
      <c r="E54" s="12"/>
      <c r="F54" s="3"/>
      <c r="G54" s="3"/>
    </row>
    <row r="55" spans="1:7" ht="18" x14ac:dyDescent="0.35">
      <c r="A55" s="254" t="s">
        <v>280</v>
      </c>
      <c r="B55" s="243"/>
      <c r="C55" s="244">
        <f>D22+D23+D24+D27</f>
        <v>0</v>
      </c>
      <c r="D55" s="41"/>
      <c r="E55" s="12"/>
      <c r="F55"/>
    </row>
    <row r="56" spans="1:7" ht="18" x14ac:dyDescent="0.35">
      <c r="A56" s="207" t="s">
        <v>278</v>
      </c>
      <c r="B56" s="243"/>
      <c r="C56" s="244">
        <f>C54-C55</f>
        <v>1280</v>
      </c>
      <c r="D56" s="41"/>
      <c r="E56" s="12"/>
      <c r="F56"/>
    </row>
    <row r="57" spans="1:7" ht="18.600000000000001" thickBot="1" x14ac:dyDescent="0.4">
      <c r="A57" s="206" t="s">
        <v>279</v>
      </c>
      <c r="B57" s="148"/>
      <c r="C57" s="148">
        <f>C53-C56</f>
        <v>410</v>
      </c>
      <c r="D57" s="44"/>
      <c r="E57" s="12"/>
      <c r="F57"/>
    </row>
    <row r="58" spans="1:7" ht="18" x14ac:dyDescent="0.35">
      <c r="A58" s="12"/>
      <c r="B58" s="12"/>
      <c r="C58" s="12"/>
      <c r="D58" s="12"/>
      <c r="E58" s="12"/>
      <c r="F58"/>
    </row>
    <row r="59" spans="1:7" ht="18" x14ac:dyDescent="0.35">
      <c r="A59" s="11" t="s">
        <v>60</v>
      </c>
      <c r="B59" s="90" t="s">
        <v>242</v>
      </c>
      <c r="C59" s="11" t="s">
        <v>243</v>
      </c>
      <c r="D59" s="12"/>
      <c r="E59" s="12"/>
      <c r="F59"/>
    </row>
    <row r="60" spans="1:7" ht="18" x14ac:dyDescent="0.35">
      <c r="A60" s="12" t="s">
        <v>102</v>
      </c>
      <c r="B60" t="s">
        <v>193</v>
      </c>
      <c r="C60" s="178" t="s">
        <v>206</v>
      </c>
      <c r="D60" s="92"/>
      <c r="E60" s="92"/>
      <c r="F60"/>
    </row>
    <row r="61" spans="1:7" ht="18" x14ac:dyDescent="0.35">
      <c r="A61" s="12" t="s">
        <v>103</v>
      </c>
      <c r="B61" t="s">
        <v>194</v>
      </c>
      <c r="C61" s="178" t="s">
        <v>207</v>
      </c>
      <c r="D61" s="92"/>
      <c r="E61" s="92"/>
      <c r="F61"/>
    </row>
    <row r="62" spans="1:7" ht="18" x14ac:dyDescent="0.35">
      <c r="A62" s="12" t="s">
        <v>13</v>
      </c>
      <c r="B62" t="s">
        <v>195</v>
      </c>
      <c r="C62" s="178" t="s">
        <v>208</v>
      </c>
      <c r="D62" s="92"/>
      <c r="E62" s="92"/>
      <c r="F62"/>
    </row>
    <row r="63" spans="1:7" ht="18" x14ac:dyDescent="0.35">
      <c r="A63" s="12" t="s">
        <v>210</v>
      </c>
      <c r="B63" t="s">
        <v>196</v>
      </c>
      <c r="C63" s="178" t="s">
        <v>209</v>
      </c>
      <c r="D63" s="92"/>
      <c r="E63" s="92"/>
      <c r="F63"/>
    </row>
    <row r="64" spans="1:7" ht="18" x14ac:dyDescent="0.35">
      <c r="A64" s="12" t="s">
        <v>211</v>
      </c>
      <c r="B64" t="s">
        <v>213</v>
      </c>
      <c r="C64" s="178" t="s">
        <v>212</v>
      </c>
      <c r="D64" s="92"/>
      <c r="E64" s="92"/>
      <c r="F64"/>
    </row>
    <row r="65" spans="1:6" ht="18" x14ac:dyDescent="0.35">
      <c r="A65" s="12" t="s">
        <v>61</v>
      </c>
      <c r="B65" t="s">
        <v>197</v>
      </c>
      <c r="C65" s="178" t="s">
        <v>276</v>
      </c>
      <c r="D65" s="92"/>
      <c r="E65" s="92"/>
      <c r="F65"/>
    </row>
    <row r="66" spans="1:6" ht="18" x14ac:dyDescent="0.35">
      <c r="A66" s="12" t="s">
        <v>104</v>
      </c>
      <c r="C66" s="178" t="s">
        <v>105</v>
      </c>
      <c r="D66" s="92"/>
      <c r="E66" s="92"/>
      <c r="F66"/>
    </row>
    <row r="67" spans="1:6" ht="18" x14ac:dyDescent="0.35">
      <c r="A67" s="12"/>
      <c r="B67" s="12"/>
      <c r="C67" s="12"/>
      <c r="D67" s="12"/>
      <c r="E67" s="12"/>
      <c r="F67"/>
    </row>
    <row r="68" spans="1:6" ht="18" x14ac:dyDescent="0.35">
      <c r="A68" s="12"/>
      <c r="B68" s="12"/>
      <c r="C68" s="12"/>
      <c r="D68" s="12"/>
      <c r="E68" s="12"/>
      <c r="F68"/>
    </row>
    <row r="69" spans="1:6" ht="18" x14ac:dyDescent="0.35">
      <c r="A69" s="12"/>
      <c r="B69" s="12"/>
      <c r="C69" s="12"/>
      <c r="D69" s="12"/>
      <c r="E69" s="12"/>
      <c r="F69"/>
    </row>
    <row r="70" spans="1:6" ht="18" x14ac:dyDescent="0.35">
      <c r="A70" s="12"/>
      <c r="B70" s="12"/>
      <c r="C70" s="12"/>
      <c r="D70" s="12"/>
      <c r="E70" s="12"/>
      <c r="F70"/>
    </row>
    <row r="71" spans="1:6" ht="18" x14ac:dyDescent="0.35">
      <c r="A71" s="12"/>
      <c r="B71" s="12"/>
      <c r="C71" s="12"/>
      <c r="D71" s="12"/>
      <c r="E71" s="12"/>
      <c r="F71"/>
    </row>
    <row r="72" spans="1:6" ht="18" x14ac:dyDescent="0.35">
      <c r="A72" s="12"/>
      <c r="B72" s="12"/>
      <c r="C72" s="12"/>
      <c r="D72" s="12"/>
      <c r="E72" s="12"/>
      <c r="F72"/>
    </row>
    <row r="73" spans="1:6" ht="18" x14ac:dyDescent="0.35">
      <c r="A73" s="12"/>
      <c r="B73" s="12"/>
      <c r="C73" s="12"/>
      <c r="D73" s="12"/>
      <c r="E73" s="12"/>
      <c r="F73"/>
    </row>
    <row r="74" spans="1:6" x14ac:dyDescent="0.3">
      <c r="D74"/>
      <c r="F74"/>
    </row>
    <row r="75" spans="1:6" x14ac:dyDescent="0.3">
      <c r="D75"/>
      <c r="F75"/>
    </row>
    <row r="76" spans="1:6" x14ac:dyDescent="0.3">
      <c r="D76"/>
      <c r="F76"/>
    </row>
    <row r="77" spans="1:6" x14ac:dyDescent="0.3">
      <c r="D77"/>
      <c r="F77"/>
    </row>
    <row r="78" spans="1:6" x14ac:dyDescent="0.3">
      <c r="D78"/>
      <c r="F78"/>
    </row>
    <row r="79" spans="1:6" x14ac:dyDescent="0.3">
      <c r="D79"/>
      <c r="F79"/>
    </row>
    <row r="80" spans="1:6" x14ac:dyDescent="0.3">
      <c r="D80"/>
      <c r="F80"/>
    </row>
    <row r="81" spans="4:6" x14ac:dyDescent="0.3">
      <c r="D81"/>
      <c r="F81"/>
    </row>
    <row r="82" spans="4:6" x14ac:dyDescent="0.3">
      <c r="D82"/>
      <c r="F82"/>
    </row>
    <row r="83" spans="4:6" x14ac:dyDescent="0.3">
      <c r="D83"/>
      <c r="F83"/>
    </row>
    <row r="84" spans="4:6" x14ac:dyDescent="0.3">
      <c r="D84"/>
      <c r="F84"/>
    </row>
    <row r="85" spans="4:6" x14ac:dyDescent="0.3">
      <c r="D85"/>
      <c r="F85"/>
    </row>
    <row r="86" spans="4:6" x14ac:dyDescent="0.3">
      <c r="D86"/>
      <c r="F86"/>
    </row>
    <row r="87" spans="4:6" x14ac:dyDescent="0.3">
      <c r="D87"/>
      <c r="F87"/>
    </row>
    <row r="88" spans="4:6" x14ac:dyDescent="0.3">
      <c r="D88"/>
      <c r="F88"/>
    </row>
    <row r="89" spans="4:6" x14ac:dyDescent="0.3">
      <c r="D89"/>
      <c r="F89"/>
    </row>
    <row r="90" spans="4:6" x14ac:dyDescent="0.3">
      <c r="D90"/>
      <c r="F90"/>
    </row>
    <row r="91" spans="4:6" x14ac:dyDescent="0.3">
      <c r="D91"/>
      <c r="F91"/>
    </row>
    <row r="92" spans="4:6" x14ac:dyDescent="0.3">
      <c r="D92"/>
      <c r="F92"/>
    </row>
    <row r="93" spans="4:6" x14ac:dyDescent="0.3">
      <c r="D93"/>
      <c r="F93"/>
    </row>
    <row r="94" spans="4:6" x14ac:dyDescent="0.3">
      <c r="D94"/>
      <c r="F94"/>
    </row>
    <row r="95" spans="4:6" x14ac:dyDescent="0.3">
      <c r="D95"/>
      <c r="F95"/>
    </row>
    <row r="96" spans="4:6" x14ac:dyDescent="0.3">
      <c r="D96"/>
      <c r="F96"/>
    </row>
    <row r="97" spans="4:6" x14ac:dyDescent="0.3">
      <c r="D97"/>
      <c r="F97"/>
    </row>
    <row r="98" spans="4:6" x14ac:dyDescent="0.3">
      <c r="D98"/>
      <c r="F98"/>
    </row>
    <row r="99" spans="4:6" x14ac:dyDescent="0.3">
      <c r="D99"/>
      <c r="F99"/>
    </row>
    <row r="100" spans="4:6" x14ac:dyDescent="0.3">
      <c r="D100"/>
      <c r="F100"/>
    </row>
    <row r="101" spans="4:6" x14ac:dyDescent="0.3">
      <c r="D101"/>
      <c r="F101"/>
    </row>
    <row r="102" spans="4:6" x14ac:dyDescent="0.3">
      <c r="D102"/>
      <c r="F102"/>
    </row>
    <row r="103" spans="4:6" x14ac:dyDescent="0.3">
      <c r="D103"/>
      <c r="F103"/>
    </row>
    <row r="104" spans="4:6" x14ac:dyDescent="0.3">
      <c r="D104"/>
      <c r="F104"/>
    </row>
    <row r="105" spans="4:6" x14ac:dyDescent="0.3">
      <c r="D105"/>
      <c r="F105"/>
    </row>
    <row r="106" spans="4:6" x14ac:dyDescent="0.3">
      <c r="D106"/>
      <c r="F106"/>
    </row>
    <row r="107" spans="4:6" x14ac:dyDescent="0.3">
      <c r="D107"/>
      <c r="F107"/>
    </row>
    <row r="108" spans="4:6" x14ac:dyDescent="0.3">
      <c r="D108"/>
      <c r="F108"/>
    </row>
    <row r="109" spans="4:6" x14ac:dyDescent="0.3">
      <c r="D109"/>
      <c r="F109"/>
    </row>
    <row r="110" spans="4:6" x14ac:dyDescent="0.3">
      <c r="D110"/>
      <c r="F110"/>
    </row>
    <row r="111" spans="4:6" x14ac:dyDescent="0.3">
      <c r="D111"/>
      <c r="F111"/>
    </row>
    <row r="112" spans="4:6" x14ac:dyDescent="0.3">
      <c r="D112"/>
      <c r="F112"/>
    </row>
    <row r="113" spans="4:6" x14ac:dyDescent="0.3">
      <c r="D113"/>
      <c r="F113"/>
    </row>
    <row r="114" spans="4:6" x14ac:dyDescent="0.3">
      <c r="D114"/>
      <c r="F114"/>
    </row>
    <row r="115" spans="4:6" x14ac:dyDescent="0.3">
      <c r="D115"/>
      <c r="F115"/>
    </row>
    <row r="116" spans="4:6" x14ac:dyDescent="0.3">
      <c r="D116"/>
      <c r="F116"/>
    </row>
    <row r="117" spans="4:6" x14ac:dyDescent="0.3">
      <c r="D117"/>
      <c r="F117"/>
    </row>
    <row r="118" spans="4:6" x14ac:dyDescent="0.3">
      <c r="D118"/>
      <c r="F118"/>
    </row>
    <row r="119" spans="4:6" x14ac:dyDescent="0.3">
      <c r="D119"/>
      <c r="F119"/>
    </row>
    <row r="120" spans="4:6" x14ac:dyDescent="0.3">
      <c r="D120"/>
      <c r="F120"/>
    </row>
    <row r="121" spans="4:6" x14ac:dyDescent="0.3">
      <c r="D121"/>
      <c r="F121"/>
    </row>
    <row r="122" spans="4:6" x14ac:dyDescent="0.3">
      <c r="D122"/>
      <c r="F122"/>
    </row>
    <row r="123" spans="4:6" x14ac:dyDescent="0.3">
      <c r="D123"/>
      <c r="F123"/>
    </row>
    <row r="124" spans="4:6" x14ac:dyDescent="0.3">
      <c r="D124"/>
      <c r="F124"/>
    </row>
    <row r="125" spans="4:6" x14ac:dyDescent="0.3">
      <c r="D125"/>
      <c r="F125"/>
    </row>
    <row r="126" spans="4:6" x14ac:dyDescent="0.3">
      <c r="D126"/>
      <c r="F126"/>
    </row>
    <row r="127" spans="4:6" x14ac:dyDescent="0.3">
      <c r="D127"/>
      <c r="F127"/>
    </row>
    <row r="128" spans="4:6" x14ac:dyDescent="0.3">
      <c r="D128"/>
      <c r="F128"/>
    </row>
    <row r="129" spans="4:6" x14ac:dyDescent="0.3">
      <c r="D129"/>
      <c r="F129"/>
    </row>
  </sheetData>
  <sheetProtection algorithmName="SHA-512" hashValue="ASCekVLL/P8pRk1f4prNU60KQWv/NIRqZ0OLtIx3KJRcFjnFUfe7T/UDjaX4tX2T8lVZEfFs8p1JvcB8FjPAQA==" saltValue="Tx8tyNBKtzPgTR3hBQvvDQ==" spinCount="100000" sheet="1" objects="1" scenarios="1" selectLockedCells="1"/>
  <mergeCells count="21">
    <mergeCell ref="A26:B26"/>
    <mergeCell ref="A29:B29"/>
    <mergeCell ref="A30:B30"/>
    <mergeCell ref="A27:B27"/>
    <mergeCell ref="A28:B28"/>
    <mergeCell ref="A32:B32"/>
    <mergeCell ref="A1:D1"/>
    <mergeCell ref="A19:B19"/>
    <mergeCell ref="A13:B13"/>
    <mergeCell ref="A14:B14"/>
    <mergeCell ref="A15:B15"/>
    <mergeCell ref="A16:B16"/>
    <mergeCell ref="A18:B18"/>
    <mergeCell ref="A17:B17"/>
    <mergeCell ref="A23:B23"/>
    <mergeCell ref="A24:B24"/>
    <mergeCell ref="A25:B25"/>
    <mergeCell ref="A21:B21"/>
    <mergeCell ref="A22:B22"/>
    <mergeCell ref="A20:B20"/>
    <mergeCell ref="A31:B31"/>
  </mergeCells>
  <hyperlinks>
    <hyperlink ref="C60" r:id="rId1" xr:uid="{9A1B62AE-28E7-43DC-BF80-A06E299B49D1}"/>
    <hyperlink ref="C66" r:id="rId2" xr:uid="{B5622BDD-555A-4D4C-99C6-8F6522FFCB67}"/>
    <hyperlink ref="C65" r:id="rId3" xr:uid="{E5BD294C-7081-4FDC-9664-5309CEF1DC67}"/>
    <hyperlink ref="C64" r:id="rId4" xr:uid="{291A24DE-B233-44F2-834A-97077EAA5BC1}"/>
    <hyperlink ref="C63" r:id="rId5" xr:uid="{2252BBB2-B378-4495-A9ED-562A58C2952E}"/>
    <hyperlink ref="C62" r:id="rId6" xr:uid="{528F371B-DA0E-4929-9CA0-C25DB8163B03}"/>
    <hyperlink ref="C61" r:id="rId7" xr:uid="{2D8ADF12-9261-4115-8D40-C4D320C22B1D}"/>
  </hyperlinks>
  <pageMargins left="0.7" right="0.7" top="0.75" bottom="0.75" header="0.3" footer="0.3"/>
  <pageSetup scale="56" orientation="portrait" r:id="rId8"/>
  <customProperties>
    <customPr name="SSC_SHEET_GUID" r:id="rId9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1"/>
  <sheetViews>
    <sheetView zoomScale="90" zoomScaleNormal="90" workbookViewId="0">
      <selection activeCell="C3" sqref="C3"/>
    </sheetView>
  </sheetViews>
  <sheetFormatPr defaultColWidth="8.88671875" defaultRowHeight="14.4" x14ac:dyDescent="0.3"/>
  <cols>
    <col min="1" max="1" width="55.88671875" customWidth="1"/>
    <col min="2" max="2" width="19.88671875" bestFit="1" customWidth="1"/>
    <col min="3" max="3" width="17.33203125" style="1" bestFit="1" customWidth="1"/>
    <col min="5" max="5" width="22.6640625" bestFit="1" customWidth="1"/>
    <col min="6" max="6" width="22.6640625" customWidth="1"/>
    <col min="7" max="7" width="18.88671875" customWidth="1"/>
  </cols>
  <sheetData>
    <row r="1" spans="1:14" ht="23.4" x14ac:dyDescent="0.45">
      <c r="A1" s="67" t="s">
        <v>54</v>
      </c>
      <c r="B1" s="68"/>
      <c r="C1" s="69"/>
      <c r="D1" s="68"/>
      <c r="E1" s="68" t="s">
        <v>43</v>
      </c>
      <c r="F1" s="68"/>
      <c r="G1" s="9"/>
      <c r="H1" s="3"/>
      <c r="I1" s="3"/>
      <c r="J1" s="3"/>
      <c r="K1" s="3"/>
      <c r="L1" s="3"/>
      <c r="M1" s="3"/>
      <c r="N1" s="3"/>
    </row>
    <row r="2" spans="1:14" ht="23.4" x14ac:dyDescent="0.45">
      <c r="A2" s="40"/>
      <c r="B2" s="208"/>
      <c r="C2" s="21"/>
      <c r="D2" s="208"/>
      <c r="E2" s="208"/>
      <c r="F2" s="212" t="s">
        <v>106</v>
      </c>
      <c r="G2" s="247" t="s">
        <v>107</v>
      </c>
      <c r="H2" s="3"/>
      <c r="I2" s="3"/>
      <c r="J2" s="3"/>
      <c r="K2" s="3"/>
      <c r="L2" s="3"/>
      <c r="M2" s="3"/>
      <c r="N2" s="3"/>
    </row>
    <row r="3" spans="1:14" ht="23.4" x14ac:dyDescent="0.45">
      <c r="A3" s="40" t="s">
        <v>41</v>
      </c>
      <c r="B3" s="208"/>
      <c r="C3" s="112"/>
      <c r="D3" s="208"/>
      <c r="E3" s="208" t="s">
        <v>44</v>
      </c>
      <c r="F3" s="245"/>
      <c r="G3" s="248">
        <v>100</v>
      </c>
      <c r="H3" s="3"/>
      <c r="I3" s="3"/>
      <c r="J3" s="3"/>
      <c r="K3" s="3"/>
      <c r="L3" s="3"/>
      <c r="M3" s="3"/>
      <c r="N3" s="3"/>
    </row>
    <row r="4" spans="1:14" ht="23.4" x14ac:dyDescent="0.45">
      <c r="A4" s="40" t="s">
        <v>40</v>
      </c>
      <c r="B4" s="208"/>
      <c r="C4" s="112"/>
      <c r="D4" s="208"/>
      <c r="E4" s="208" t="s">
        <v>76</v>
      </c>
      <c r="F4" s="245"/>
      <c r="G4" s="248"/>
      <c r="H4" s="3"/>
      <c r="I4" s="3"/>
      <c r="J4" s="3"/>
      <c r="K4" s="3"/>
      <c r="L4" s="3"/>
      <c r="M4" s="3"/>
      <c r="N4" s="3"/>
    </row>
    <row r="5" spans="1:14" ht="23.4" x14ac:dyDescent="0.45">
      <c r="A5" s="40" t="s">
        <v>199</v>
      </c>
      <c r="B5" s="208"/>
      <c r="C5" s="112"/>
      <c r="D5" s="208"/>
      <c r="E5" s="208"/>
      <c r="F5" s="245"/>
      <c r="G5" s="248"/>
      <c r="H5" s="3"/>
      <c r="I5" s="3"/>
      <c r="J5" s="3"/>
      <c r="K5" s="3"/>
      <c r="L5" s="3"/>
      <c r="M5" s="3"/>
      <c r="N5" s="3"/>
    </row>
    <row r="6" spans="1:14" ht="23.4" x14ac:dyDescent="0.45">
      <c r="A6" s="70" t="s">
        <v>73</v>
      </c>
      <c r="B6" s="208"/>
      <c r="C6" s="112"/>
      <c r="D6" s="208"/>
      <c r="E6" s="208"/>
      <c r="F6" s="245"/>
      <c r="G6" s="248"/>
      <c r="H6" s="3"/>
      <c r="I6" s="3"/>
      <c r="J6" s="3"/>
      <c r="K6" s="3"/>
      <c r="L6" s="3"/>
      <c r="M6" s="3"/>
      <c r="N6" s="3"/>
    </row>
    <row r="7" spans="1:14" ht="23.4" x14ac:dyDescent="0.45">
      <c r="A7" s="40" t="s">
        <v>42</v>
      </c>
      <c r="B7" s="208"/>
      <c r="C7" s="112"/>
      <c r="D7" s="208"/>
      <c r="E7" s="208"/>
      <c r="F7" s="245"/>
      <c r="G7" s="248"/>
      <c r="H7" s="3"/>
      <c r="I7" s="3"/>
      <c r="J7" s="3"/>
      <c r="K7" s="3"/>
      <c r="L7" s="3"/>
      <c r="M7" s="3"/>
      <c r="N7" s="3"/>
    </row>
    <row r="8" spans="1:14" ht="23.4" x14ac:dyDescent="0.45">
      <c r="A8" s="40" t="s">
        <v>108</v>
      </c>
      <c r="B8" s="208"/>
      <c r="C8" s="112"/>
      <c r="D8" s="208"/>
      <c r="E8" s="208"/>
      <c r="F8" s="245"/>
      <c r="G8" s="248"/>
      <c r="H8" s="3"/>
      <c r="I8" s="3"/>
      <c r="J8" s="3"/>
      <c r="K8" s="3"/>
      <c r="L8" s="3"/>
      <c r="M8" s="3"/>
      <c r="N8" s="3"/>
    </row>
    <row r="9" spans="1:14" ht="23.4" x14ac:dyDescent="0.45">
      <c r="A9" s="40"/>
      <c r="B9" s="208"/>
      <c r="C9" s="21"/>
      <c r="D9" s="208"/>
      <c r="E9" s="208"/>
      <c r="F9" s="245"/>
      <c r="G9" s="248"/>
      <c r="H9" s="3"/>
      <c r="I9" s="3"/>
      <c r="J9" s="3"/>
      <c r="K9" s="3"/>
      <c r="L9" s="3"/>
      <c r="M9" s="3"/>
      <c r="N9" s="3"/>
    </row>
    <row r="10" spans="1:14" ht="23.4" x14ac:dyDescent="0.45">
      <c r="A10" s="40" t="s">
        <v>50</v>
      </c>
      <c r="B10" s="208"/>
      <c r="C10" s="33">
        <f>SUM(C3:C9)</f>
        <v>0</v>
      </c>
      <c r="D10" s="208"/>
      <c r="E10" s="208" t="s">
        <v>45</v>
      </c>
      <c r="F10" s="245"/>
      <c r="G10" s="248"/>
      <c r="H10" s="3"/>
      <c r="I10" s="3"/>
      <c r="J10" s="3"/>
      <c r="K10" s="3"/>
      <c r="L10" s="3"/>
      <c r="M10" s="3"/>
      <c r="N10" s="3"/>
    </row>
    <row r="11" spans="1:14" ht="23.4" x14ac:dyDescent="0.45">
      <c r="A11" s="40"/>
      <c r="B11" s="208"/>
      <c r="C11" s="21"/>
      <c r="D11" s="208"/>
      <c r="E11" s="208"/>
      <c r="F11" s="245"/>
      <c r="G11" s="248"/>
      <c r="H11" s="3"/>
      <c r="I11" s="3"/>
      <c r="J11" s="3"/>
      <c r="K11" s="3"/>
      <c r="L11" s="3"/>
      <c r="M11" s="3"/>
      <c r="N11" s="3"/>
    </row>
    <row r="12" spans="1:14" ht="23.4" x14ac:dyDescent="0.45">
      <c r="A12" s="40" t="s">
        <v>46</v>
      </c>
      <c r="B12" s="246">
        <v>0.04</v>
      </c>
      <c r="C12" s="71">
        <f>C10*B12</f>
        <v>0</v>
      </c>
      <c r="D12" s="208"/>
      <c r="E12" s="208"/>
      <c r="F12" s="245"/>
      <c r="G12" s="248"/>
      <c r="H12" s="3"/>
      <c r="I12" s="3"/>
      <c r="J12" s="3"/>
      <c r="K12" s="3"/>
      <c r="L12" s="3"/>
      <c r="M12" s="3"/>
      <c r="N12" s="3"/>
    </row>
    <row r="13" spans="1:14" ht="23.4" x14ac:dyDescent="0.45">
      <c r="A13" s="40" t="s">
        <v>49</v>
      </c>
      <c r="B13" s="208"/>
      <c r="C13" s="71">
        <f>C12/12</f>
        <v>0</v>
      </c>
      <c r="D13" s="208"/>
      <c r="E13" s="208"/>
      <c r="F13" s="208"/>
      <c r="G13" s="249">
        <f>SUM(G3:G12)</f>
        <v>100</v>
      </c>
      <c r="H13" s="3"/>
      <c r="I13" s="3"/>
      <c r="J13" s="3"/>
      <c r="K13" s="3"/>
      <c r="L13" s="3"/>
      <c r="M13" s="3"/>
      <c r="N13" s="3"/>
    </row>
    <row r="14" spans="1:14" ht="23.4" x14ac:dyDescent="0.45">
      <c r="A14" s="40"/>
      <c r="B14" s="208"/>
      <c r="C14" s="21"/>
      <c r="D14" s="208"/>
      <c r="E14" s="208"/>
      <c r="F14" s="208"/>
      <c r="G14" s="41"/>
      <c r="H14" s="3"/>
      <c r="I14" s="3"/>
      <c r="J14" s="3"/>
      <c r="K14" s="3"/>
      <c r="L14" s="3"/>
      <c r="M14" s="3"/>
      <c r="N14" s="3"/>
    </row>
    <row r="15" spans="1:14" ht="23.4" x14ac:dyDescent="0.45">
      <c r="A15" s="40" t="s">
        <v>47</v>
      </c>
      <c r="B15" s="114">
        <v>50</v>
      </c>
      <c r="C15" s="71">
        <f>C10/B15</f>
        <v>0</v>
      </c>
      <c r="D15" s="208"/>
      <c r="E15" s="208" t="s">
        <v>48</v>
      </c>
      <c r="F15" s="116">
        <v>0.24</v>
      </c>
      <c r="G15" s="250">
        <f>G13*F15/12</f>
        <v>2</v>
      </c>
      <c r="H15" s="3"/>
      <c r="I15" s="3"/>
      <c r="J15" s="3"/>
      <c r="K15" s="3"/>
      <c r="L15" s="3"/>
      <c r="M15" s="3"/>
      <c r="N15" s="3"/>
    </row>
    <row r="16" spans="1:14" ht="23.4" x14ac:dyDescent="0.45">
      <c r="A16" s="40" t="s">
        <v>49</v>
      </c>
      <c r="B16" s="10"/>
      <c r="C16" s="71">
        <f>C15/12</f>
        <v>0</v>
      </c>
      <c r="D16" s="208"/>
      <c r="E16" s="208"/>
      <c r="F16" s="34"/>
      <c r="G16" s="251"/>
      <c r="H16" s="3"/>
      <c r="I16" s="3"/>
      <c r="J16" s="3"/>
      <c r="K16" s="3"/>
      <c r="L16" s="3"/>
      <c r="M16" s="3"/>
      <c r="N16" s="3"/>
    </row>
    <row r="17" spans="1:14" ht="23.4" x14ac:dyDescent="0.45">
      <c r="A17" s="40"/>
      <c r="B17" s="208"/>
      <c r="C17" s="21"/>
      <c r="D17" s="208"/>
      <c r="E17" s="208"/>
      <c r="F17" s="208"/>
      <c r="G17" s="5"/>
      <c r="H17" s="3"/>
      <c r="I17" s="3"/>
      <c r="J17" s="3"/>
      <c r="K17" s="3"/>
      <c r="L17" s="3"/>
      <c r="M17" s="3"/>
      <c r="N17" s="3"/>
    </row>
    <row r="18" spans="1:14" ht="23.4" x14ac:dyDescent="0.45">
      <c r="A18" s="40" t="s">
        <v>65</v>
      </c>
      <c r="B18" s="208"/>
      <c r="C18" s="21"/>
      <c r="D18" s="208"/>
      <c r="E18" s="208"/>
      <c r="F18" s="208"/>
      <c r="G18" s="5"/>
      <c r="H18" s="3"/>
      <c r="I18" s="3"/>
      <c r="J18" s="3"/>
      <c r="K18" s="3"/>
      <c r="L18" s="3"/>
      <c r="M18" s="3"/>
      <c r="N18" s="3"/>
    </row>
    <row r="19" spans="1:14" ht="23.4" x14ac:dyDescent="0.45">
      <c r="A19" s="40" t="s">
        <v>66</v>
      </c>
      <c r="B19" s="208"/>
      <c r="C19" s="107"/>
      <c r="D19" s="208"/>
      <c r="E19" s="208" t="s">
        <v>52</v>
      </c>
      <c r="F19" s="208"/>
      <c r="G19" s="5"/>
      <c r="H19" s="3"/>
      <c r="I19" s="3"/>
      <c r="J19" s="3"/>
      <c r="K19" s="3"/>
      <c r="L19" s="3"/>
      <c r="M19" s="3"/>
      <c r="N19" s="3"/>
    </row>
    <row r="20" spans="1:14" ht="23.4" x14ac:dyDescent="0.45">
      <c r="A20" s="40"/>
      <c r="B20" s="115">
        <v>1E-3</v>
      </c>
      <c r="C20" s="23">
        <f>C19*B20</f>
        <v>0</v>
      </c>
      <c r="D20" s="208"/>
      <c r="E20" s="208"/>
      <c r="F20" s="208"/>
      <c r="G20" s="5"/>
      <c r="H20" s="3"/>
      <c r="I20" s="3"/>
      <c r="J20" s="3"/>
      <c r="K20" s="3"/>
      <c r="L20" s="3"/>
      <c r="M20" s="3"/>
      <c r="N20" s="3"/>
    </row>
    <row r="21" spans="1:14" ht="24" thickBot="1" x14ac:dyDescent="0.5">
      <c r="A21" s="252" t="s">
        <v>74</v>
      </c>
      <c r="B21" s="27" t="s">
        <v>67</v>
      </c>
      <c r="C21" s="253">
        <f>C20/12</f>
        <v>0</v>
      </c>
      <c r="D21" s="27"/>
      <c r="E21" s="27" t="s">
        <v>69</v>
      </c>
      <c r="F21" s="27"/>
      <c r="G21" s="6"/>
      <c r="H21" s="3"/>
      <c r="I21" s="3"/>
      <c r="J21" s="3"/>
      <c r="K21" s="3"/>
      <c r="L21" s="3"/>
      <c r="M21" s="3"/>
      <c r="N21" s="3"/>
    </row>
    <row r="22" spans="1:14" ht="23.4" x14ac:dyDescent="0.45">
      <c r="A22" s="3"/>
      <c r="B22" s="3"/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3.4" x14ac:dyDescent="0.45">
      <c r="A23" s="3"/>
      <c r="B23" s="3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3.4" x14ac:dyDescent="0.45">
      <c r="A24" s="3"/>
      <c r="B24" s="3"/>
      <c r="C24" s="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3.4" x14ac:dyDescent="0.45">
      <c r="A25" s="3"/>
      <c r="B25" s="3"/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3.4" x14ac:dyDescent="0.45">
      <c r="A26" s="3"/>
      <c r="B26" s="3"/>
      <c r="C26" s="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3.4" x14ac:dyDescent="0.45">
      <c r="A27" s="3"/>
      <c r="B27" s="3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3.4" x14ac:dyDescent="0.45">
      <c r="A28" s="3"/>
      <c r="B28" s="3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3.4" x14ac:dyDescent="0.45">
      <c r="A29" s="3"/>
      <c r="B29" s="3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3.4" x14ac:dyDescent="0.45">
      <c r="A30" s="3"/>
      <c r="B30" s="3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3.4" x14ac:dyDescent="0.45">
      <c r="A31" s="3"/>
      <c r="B31" s="3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sheetProtection algorithmName="SHA-512" hashValue="+pL7De+Yx4iERGkLCrO+zjw7COHm3wJrByH5XFhWWZycmlU3sX7Nb7Wv1+QqCTfhw++zP9874A6dMCNY3PB8Dw==" saltValue="oFiiGNLpecMu1R3D98Orgg==" spinCount="100000" sheet="1" objects="1" scenarios="1" selectLockedCells="1"/>
  <pageMargins left="0.7" right="0.7" top="0.75" bottom="0.75" header="0.3" footer="0.3"/>
  <pageSetup scale="73" orientation="landscape" r:id="rId1"/>
  <customProperties>
    <customPr name="SSC_SHEET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3"/>
  <sheetViews>
    <sheetView zoomScale="90" zoomScaleNormal="90" workbookViewId="0">
      <selection activeCell="C3" sqref="C3"/>
    </sheetView>
  </sheetViews>
  <sheetFormatPr defaultColWidth="8.88671875" defaultRowHeight="14.4" x14ac:dyDescent="0.3"/>
  <cols>
    <col min="1" max="1" width="26.6640625" customWidth="1"/>
    <col min="2" max="2" width="27.88671875" bestFit="1" customWidth="1"/>
    <col min="3" max="3" width="16.6640625" customWidth="1"/>
    <col min="11" max="11" width="9.88671875" bestFit="1" customWidth="1"/>
  </cols>
  <sheetData>
    <row r="1" spans="1:6" ht="22.35" customHeight="1" x14ac:dyDescent="0.35">
      <c r="A1" s="36" t="s">
        <v>221</v>
      </c>
      <c r="B1" s="37"/>
      <c r="C1" s="219"/>
      <c r="D1" s="12"/>
      <c r="E1" s="12"/>
      <c r="F1" s="12"/>
    </row>
    <row r="2" spans="1:6" ht="22.35" customHeight="1" x14ac:dyDescent="0.35">
      <c r="A2" s="42"/>
      <c r="B2" s="216"/>
      <c r="C2" s="220" t="s">
        <v>7</v>
      </c>
      <c r="D2" s="12"/>
      <c r="E2" s="12"/>
      <c r="F2" s="12"/>
    </row>
    <row r="3" spans="1:6" ht="22.35" customHeight="1" x14ac:dyDescent="0.35">
      <c r="A3" s="40" t="s">
        <v>22</v>
      </c>
      <c r="B3" s="208"/>
      <c r="C3" s="221">
        <v>400</v>
      </c>
      <c r="D3" s="12"/>
      <c r="E3" s="12"/>
      <c r="F3" s="12"/>
    </row>
    <row r="4" spans="1:6" ht="22.35" customHeight="1" x14ac:dyDescent="0.35">
      <c r="A4" s="40" t="s">
        <v>23</v>
      </c>
      <c r="B4" s="208"/>
      <c r="C4" s="221">
        <v>50</v>
      </c>
      <c r="D4" s="12"/>
      <c r="E4" s="12"/>
      <c r="F4" s="12"/>
    </row>
    <row r="5" spans="1:6" ht="22.35" customHeight="1" x14ac:dyDescent="0.35">
      <c r="A5" s="40" t="s">
        <v>25</v>
      </c>
      <c r="B5" s="208"/>
      <c r="C5" s="221">
        <v>50</v>
      </c>
      <c r="D5" s="12"/>
      <c r="E5" s="12"/>
      <c r="F5" s="12"/>
    </row>
    <row r="6" spans="1:6" ht="22.35" customHeight="1" x14ac:dyDescent="0.35">
      <c r="A6" s="40" t="s">
        <v>109</v>
      </c>
      <c r="B6" s="208"/>
      <c r="C6" s="221">
        <v>50</v>
      </c>
      <c r="D6" s="12"/>
      <c r="E6" s="12"/>
      <c r="F6" s="12"/>
    </row>
    <row r="7" spans="1:6" ht="22.35" customHeight="1" x14ac:dyDescent="0.35">
      <c r="A7" s="40" t="s">
        <v>110</v>
      </c>
      <c r="B7" s="208"/>
      <c r="C7" s="222">
        <f>'Housing Subsidy'!C20</f>
        <v>20</v>
      </c>
      <c r="D7" s="12"/>
      <c r="E7" s="12"/>
      <c r="F7" s="12"/>
    </row>
    <row r="8" spans="1:6" ht="22.35" customHeight="1" x14ac:dyDescent="0.35">
      <c r="A8" s="40" t="s">
        <v>111</v>
      </c>
      <c r="B8" s="208"/>
      <c r="C8" s="221">
        <v>100</v>
      </c>
      <c r="D8" s="12"/>
      <c r="E8" s="12"/>
      <c r="F8" s="12"/>
    </row>
    <row r="9" spans="1:6" ht="22.35" customHeight="1" x14ac:dyDescent="0.35">
      <c r="A9" s="40" t="s">
        <v>24</v>
      </c>
      <c r="B9" s="208"/>
      <c r="C9" s="221">
        <v>100</v>
      </c>
      <c r="D9" s="12"/>
      <c r="E9" s="12"/>
      <c r="F9" s="12"/>
    </row>
    <row r="10" spans="1:6" ht="22.35" customHeight="1" x14ac:dyDescent="0.35">
      <c r="A10" s="40" t="s">
        <v>51</v>
      </c>
      <c r="B10" s="208"/>
      <c r="C10" s="223">
        <f>Savings!G15</f>
        <v>2</v>
      </c>
      <c r="D10" s="12"/>
      <c r="E10" s="12"/>
      <c r="F10" s="12"/>
    </row>
    <row r="11" spans="1:6" ht="22.35" customHeight="1" thickBot="1" x14ac:dyDescent="0.4">
      <c r="A11" s="40" t="s">
        <v>27</v>
      </c>
      <c r="B11" s="27"/>
      <c r="C11" s="224"/>
      <c r="D11" s="12"/>
      <c r="E11" s="12"/>
      <c r="F11" s="12"/>
    </row>
    <row r="12" spans="1:6" ht="22.35" customHeight="1" thickBot="1" x14ac:dyDescent="0.4">
      <c r="A12" s="40"/>
      <c r="B12" s="217" t="s">
        <v>28</v>
      </c>
      <c r="C12" s="225">
        <f>SUM(C3:C11)</f>
        <v>772</v>
      </c>
      <c r="D12" s="12"/>
      <c r="E12" s="12"/>
      <c r="F12" s="12"/>
    </row>
    <row r="13" spans="1:6" ht="22.35" customHeight="1" x14ac:dyDescent="0.35">
      <c r="A13" s="36" t="s">
        <v>216</v>
      </c>
      <c r="B13" s="37"/>
      <c r="C13" s="219"/>
      <c r="D13" s="12"/>
      <c r="E13" s="12"/>
      <c r="F13" s="12"/>
    </row>
    <row r="14" spans="1:6" ht="22.35" customHeight="1" x14ac:dyDescent="0.35">
      <c r="A14" s="40"/>
      <c r="B14" s="208"/>
      <c r="C14" s="226" t="s">
        <v>7</v>
      </c>
      <c r="D14" s="12"/>
      <c r="E14" s="12"/>
      <c r="F14" s="12"/>
    </row>
    <row r="15" spans="1:6" ht="22.35" customHeight="1" x14ac:dyDescent="0.35">
      <c r="A15" s="40" t="s">
        <v>215</v>
      </c>
      <c r="B15" s="208"/>
      <c r="C15" s="221">
        <v>0</v>
      </c>
      <c r="D15" s="12"/>
      <c r="E15" s="12"/>
      <c r="F15" s="12"/>
    </row>
    <row r="16" spans="1:6" ht="22.35" customHeight="1" x14ac:dyDescent="0.35">
      <c r="A16" s="40" t="s">
        <v>23</v>
      </c>
      <c r="B16" s="208"/>
      <c r="C16" s="221">
        <v>20</v>
      </c>
      <c r="D16" s="12"/>
      <c r="E16" s="12"/>
      <c r="F16" s="12"/>
    </row>
    <row r="17" spans="1:6" ht="22.35" customHeight="1" x14ac:dyDescent="0.35">
      <c r="A17" s="40" t="s">
        <v>25</v>
      </c>
      <c r="B17" s="208"/>
      <c r="C17" s="221">
        <v>25</v>
      </c>
      <c r="D17" s="12"/>
      <c r="E17" s="12"/>
      <c r="F17" s="12"/>
    </row>
    <row r="18" spans="1:6" ht="22.35" customHeight="1" x14ac:dyDescent="0.35">
      <c r="A18" s="40" t="s">
        <v>217</v>
      </c>
      <c r="B18" s="208"/>
      <c r="C18" s="221">
        <v>25</v>
      </c>
      <c r="D18" s="12"/>
      <c r="E18" s="12"/>
      <c r="F18" s="12"/>
    </row>
    <row r="19" spans="1:6" ht="22.35" customHeight="1" x14ac:dyDescent="0.35">
      <c r="A19" s="40" t="s">
        <v>218</v>
      </c>
      <c r="B19" s="208"/>
      <c r="C19" s="221">
        <v>50</v>
      </c>
      <c r="D19" s="12"/>
      <c r="E19" s="12"/>
      <c r="F19" s="12"/>
    </row>
    <row r="20" spans="1:6" ht="22.35" customHeight="1" x14ac:dyDescent="0.35">
      <c r="A20" s="40" t="s">
        <v>219</v>
      </c>
      <c r="B20" s="208"/>
      <c r="C20" s="221">
        <v>0</v>
      </c>
      <c r="D20" s="12"/>
      <c r="E20" s="12"/>
      <c r="F20" s="12"/>
    </row>
    <row r="21" spans="1:6" ht="22.35" customHeight="1" x14ac:dyDescent="0.35">
      <c r="A21" s="40" t="s">
        <v>220</v>
      </c>
      <c r="B21" s="208"/>
      <c r="C21" s="221">
        <v>0</v>
      </c>
      <c r="D21" s="12"/>
      <c r="E21" s="12"/>
      <c r="F21" s="12"/>
    </row>
    <row r="22" spans="1:6" ht="22.35" customHeight="1" thickBot="1" x14ac:dyDescent="0.4">
      <c r="A22" s="40" t="s">
        <v>27</v>
      </c>
      <c r="B22" s="27"/>
      <c r="C22" s="227">
        <v>0</v>
      </c>
      <c r="D22" s="12"/>
      <c r="E22" s="12"/>
      <c r="F22" s="12"/>
    </row>
    <row r="23" spans="1:6" ht="22.35" customHeight="1" thickBot="1" x14ac:dyDescent="0.4">
      <c r="A23" s="40"/>
      <c r="B23" s="217" t="s">
        <v>222</v>
      </c>
      <c r="C23" s="228">
        <f>SUM(C15:C22)</f>
        <v>120</v>
      </c>
      <c r="D23" s="12"/>
      <c r="E23" s="12"/>
      <c r="F23" s="12"/>
    </row>
    <row r="24" spans="1:6" ht="22.35" customHeight="1" x14ac:dyDescent="0.35">
      <c r="A24" s="83"/>
      <c r="B24" s="84"/>
      <c r="C24" s="86"/>
      <c r="D24" s="12"/>
      <c r="E24" s="12"/>
      <c r="F24" s="12"/>
    </row>
    <row r="25" spans="1:6" ht="22.35" customHeight="1" thickBot="1" x14ac:dyDescent="0.4">
      <c r="A25" s="154"/>
      <c r="B25" s="218" t="s">
        <v>226</v>
      </c>
      <c r="C25" s="229">
        <f>C12-C23</f>
        <v>652</v>
      </c>
      <c r="D25" s="12"/>
      <c r="E25" s="12"/>
      <c r="F25" s="12"/>
    </row>
    <row r="26" spans="1:6" ht="22.35" customHeight="1" x14ac:dyDescent="0.35">
      <c r="A26" s="12"/>
      <c r="B26" s="12"/>
      <c r="C26" s="12"/>
      <c r="D26" s="12"/>
      <c r="E26" s="12"/>
      <c r="F26" s="12"/>
    </row>
    <row r="27" spans="1:6" ht="22.35" customHeight="1" x14ac:dyDescent="0.35">
      <c r="A27" s="12"/>
      <c r="B27" s="12"/>
      <c r="C27" s="12"/>
      <c r="D27" s="12"/>
      <c r="E27" s="12"/>
      <c r="F27" s="12"/>
    </row>
    <row r="28" spans="1:6" ht="22.35" customHeight="1" x14ac:dyDescent="0.35">
      <c r="A28" s="12"/>
      <c r="B28" s="12"/>
      <c r="C28" s="12"/>
      <c r="D28" s="12"/>
      <c r="E28" s="12"/>
      <c r="F28" s="12"/>
    </row>
    <row r="29" spans="1:6" ht="18" x14ac:dyDescent="0.35">
      <c r="A29" s="12"/>
      <c r="B29" s="12"/>
      <c r="C29" s="12"/>
      <c r="D29" s="12"/>
      <c r="E29" s="12"/>
      <c r="F29" s="12"/>
    </row>
    <row r="30" spans="1:6" ht="18" x14ac:dyDescent="0.35">
      <c r="A30" s="12"/>
      <c r="B30" s="12"/>
      <c r="C30" s="12"/>
      <c r="D30" s="12"/>
      <c r="E30" s="12"/>
      <c r="F30" s="12"/>
    </row>
    <row r="31" spans="1:6" ht="18" x14ac:dyDescent="0.35">
      <c r="A31" s="12"/>
      <c r="B31" s="12"/>
      <c r="C31" s="12"/>
      <c r="D31" s="12"/>
      <c r="E31" s="12"/>
      <c r="F31" s="12"/>
    </row>
    <row r="32" spans="1:6" ht="18" x14ac:dyDescent="0.35">
      <c r="A32" s="12"/>
      <c r="B32" s="12"/>
      <c r="C32" s="12"/>
      <c r="D32" s="12"/>
      <c r="E32" s="12"/>
      <c r="F32" s="12"/>
    </row>
    <row r="33" spans="1:6" ht="18" x14ac:dyDescent="0.35">
      <c r="A33" s="12"/>
      <c r="B33" s="12"/>
      <c r="C33" s="12"/>
      <c r="D33" s="12"/>
      <c r="E33" s="12"/>
      <c r="F33" s="12"/>
    </row>
  </sheetData>
  <sheetProtection algorithmName="SHA-512" hashValue="QODTE1XfQ3ZH03HA2M78qwyiE7CqQ3yy4UoFIDEs0D3pnZvj/YiVwPrWqbwmFOdVHKPxt3ZgPeClxPUBY0+4sQ==" saltValue="YOzcjlaZrJy01C1PK3EJ4A==" spinCount="100000" sheet="1" objects="1" scenarios="1" selectLockedCells="1"/>
  <pageMargins left="0.7" right="0.7" top="0.75" bottom="0.75" header="0.3" footer="0.3"/>
  <pageSetup orientation="portrait" r:id="rId1"/>
  <customProperties>
    <customPr name="SSC_SHEET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55FB-9CCE-2745-BB28-325446301DA6}">
  <sheetPr>
    <pageSetUpPr fitToPage="1"/>
  </sheetPr>
  <dimension ref="A1:T79"/>
  <sheetViews>
    <sheetView topLeftCell="A4" zoomScale="90" zoomScaleNormal="90" workbookViewId="0">
      <selection activeCell="B2" sqref="B2"/>
    </sheetView>
  </sheetViews>
  <sheetFormatPr defaultColWidth="8.88671875" defaultRowHeight="14.4" x14ac:dyDescent="0.3"/>
  <cols>
    <col min="1" max="1" width="45.109375" customWidth="1"/>
    <col min="2" max="2" width="47.44140625" bestFit="1" customWidth="1"/>
    <col min="3" max="3" width="22.44140625" customWidth="1"/>
    <col min="4" max="4" width="35.109375" customWidth="1"/>
  </cols>
  <sheetData>
    <row r="1" spans="1:7" ht="18" x14ac:dyDescent="0.35">
      <c r="A1" s="125" t="s">
        <v>120</v>
      </c>
      <c r="B1" s="84"/>
      <c r="C1" s="126"/>
      <c r="D1" s="127" t="s">
        <v>121</v>
      </c>
      <c r="G1" s="12"/>
    </row>
    <row r="2" spans="1:7" ht="18" x14ac:dyDescent="0.35">
      <c r="A2" s="128" t="s">
        <v>122</v>
      </c>
      <c r="B2" s="108">
        <v>2</v>
      </c>
      <c r="C2" s="129" t="s">
        <v>123</v>
      </c>
      <c r="D2" s="197" t="s">
        <v>233</v>
      </c>
      <c r="G2" s="12"/>
    </row>
    <row r="3" spans="1:7" ht="18.600000000000001" thickBot="1" x14ac:dyDescent="0.4">
      <c r="A3" s="128" t="s">
        <v>124</v>
      </c>
      <c r="B3" s="109" t="s">
        <v>125</v>
      </c>
      <c r="C3" s="46"/>
      <c r="D3" s="197"/>
      <c r="E3" s="12"/>
      <c r="G3" s="12"/>
    </row>
    <row r="4" spans="1:7" ht="18.600000000000001" thickBot="1" x14ac:dyDescent="0.4">
      <c r="A4" s="40"/>
      <c r="B4" s="210" t="s">
        <v>120</v>
      </c>
      <c r="C4" s="110">
        <v>1487</v>
      </c>
      <c r="D4" s="41"/>
      <c r="E4" s="12"/>
      <c r="F4" s="12"/>
      <c r="G4" s="12"/>
    </row>
    <row r="5" spans="1:7" ht="18" x14ac:dyDescent="0.35">
      <c r="A5" s="40"/>
      <c r="B5" s="211"/>
      <c r="C5" s="47"/>
      <c r="D5" s="199" t="s">
        <v>241</v>
      </c>
      <c r="E5" s="12"/>
      <c r="F5" s="12"/>
      <c r="G5" s="12"/>
    </row>
    <row r="6" spans="1:7" ht="18" x14ac:dyDescent="0.35">
      <c r="A6" s="42" t="s">
        <v>109</v>
      </c>
      <c r="B6" s="212" t="s">
        <v>126</v>
      </c>
      <c r="C6" s="47"/>
      <c r="D6" s="199"/>
      <c r="E6" s="12"/>
      <c r="F6" s="12"/>
      <c r="G6" s="12"/>
    </row>
    <row r="7" spans="1:7" ht="18" x14ac:dyDescent="0.35">
      <c r="A7" s="128" t="s">
        <v>127</v>
      </c>
      <c r="B7" s="109">
        <v>0</v>
      </c>
      <c r="C7" s="47"/>
      <c r="D7" s="41"/>
      <c r="E7" s="12"/>
      <c r="F7" s="12"/>
      <c r="G7" s="12"/>
    </row>
    <row r="8" spans="1:7" ht="18" x14ac:dyDescent="0.35">
      <c r="A8" s="128" t="s">
        <v>128</v>
      </c>
      <c r="B8" s="109">
        <v>1</v>
      </c>
      <c r="C8" s="47"/>
      <c r="D8" s="198" t="s">
        <v>240</v>
      </c>
      <c r="E8" s="48"/>
      <c r="F8" s="12"/>
      <c r="G8" s="12"/>
    </row>
    <row r="9" spans="1:7" ht="18" x14ac:dyDescent="0.35">
      <c r="A9" s="128" t="s">
        <v>129</v>
      </c>
      <c r="B9" s="109">
        <v>0</v>
      </c>
      <c r="C9" s="47"/>
      <c r="D9" s="198"/>
      <c r="E9" s="12"/>
      <c r="F9" s="12"/>
      <c r="G9" s="12"/>
    </row>
    <row r="10" spans="1:7" ht="18.600000000000001" thickBot="1" x14ac:dyDescent="0.4">
      <c r="A10" s="130" t="s">
        <v>130</v>
      </c>
      <c r="B10" s="111">
        <v>0</v>
      </c>
      <c r="C10" s="47"/>
      <c r="D10" s="41"/>
      <c r="E10" s="12"/>
      <c r="F10" s="12"/>
      <c r="G10" s="12"/>
    </row>
    <row r="11" spans="1:7" ht="18" x14ac:dyDescent="0.35">
      <c r="A11" s="131" t="s">
        <v>131</v>
      </c>
      <c r="B11" s="49">
        <f>SUM(B7:B9)+1</f>
        <v>2</v>
      </c>
      <c r="C11" s="50" t="s">
        <v>132</v>
      </c>
      <c r="D11" s="41"/>
      <c r="E11" s="12"/>
      <c r="F11" s="12"/>
      <c r="G11" s="12"/>
    </row>
    <row r="12" spans="1:7" ht="18" x14ac:dyDescent="0.35">
      <c r="A12" s="40"/>
      <c r="B12" s="211"/>
      <c r="C12" s="47"/>
      <c r="D12" s="41"/>
      <c r="E12" s="12"/>
      <c r="F12" s="12"/>
      <c r="G12" s="12"/>
    </row>
    <row r="13" spans="1:7" ht="18" x14ac:dyDescent="0.35">
      <c r="A13" s="42" t="s">
        <v>133</v>
      </c>
      <c r="B13" s="208"/>
      <c r="C13" s="57"/>
      <c r="D13" s="41"/>
      <c r="E13" s="12"/>
      <c r="F13" s="12"/>
      <c r="G13" s="12"/>
    </row>
    <row r="14" spans="1:7" ht="18" x14ac:dyDescent="0.35">
      <c r="A14" s="132"/>
      <c r="B14" s="208" t="s">
        <v>134</v>
      </c>
      <c r="C14" s="209">
        <f>Income!D36+Income!D37+Income!D11+Income!D10</f>
        <v>654.33333333333337</v>
      </c>
      <c r="D14" s="41"/>
      <c r="E14" s="12"/>
      <c r="F14" s="12"/>
      <c r="G14" s="12"/>
    </row>
    <row r="15" spans="1:7" ht="18" x14ac:dyDescent="0.35">
      <c r="A15" s="132"/>
      <c r="B15" s="208" t="s">
        <v>198</v>
      </c>
      <c r="C15" s="53">
        <f>Income!D3+Income!D6+Income!D7</f>
        <v>1143.6666666666667</v>
      </c>
      <c r="D15" s="41"/>
      <c r="E15" s="12"/>
      <c r="F15" s="12"/>
      <c r="G15" s="12"/>
    </row>
    <row r="16" spans="1:7" ht="18.600000000000001" thickBot="1" x14ac:dyDescent="0.4">
      <c r="A16" s="132"/>
      <c r="B16" s="27" t="s">
        <v>45</v>
      </c>
      <c r="C16" s="113">
        <v>0</v>
      </c>
      <c r="D16" s="41"/>
      <c r="E16" s="12"/>
      <c r="F16" s="12"/>
      <c r="G16" s="12"/>
    </row>
    <row r="17" spans="1:7" ht="18.600000000000001" thickBot="1" x14ac:dyDescent="0.4">
      <c r="A17" s="132"/>
      <c r="B17" s="213" t="s">
        <v>135</v>
      </c>
      <c r="C17" s="52">
        <f>SUM(C14:C16)</f>
        <v>1798</v>
      </c>
      <c r="D17" s="41"/>
      <c r="E17" s="12"/>
      <c r="F17" s="12"/>
      <c r="G17" s="12"/>
    </row>
    <row r="18" spans="1:7" ht="18" x14ac:dyDescent="0.35">
      <c r="A18" s="42" t="s">
        <v>136</v>
      </c>
      <c r="B18" s="208"/>
      <c r="C18" s="57"/>
      <c r="D18" s="41"/>
      <c r="E18" s="12"/>
      <c r="F18" s="12"/>
      <c r="G18" s="12"/>
    </row>
    <row r="19" spans="1:7" ht="18" x14ac:dyDescent="0.35">
      <c r="A19" s="40"/>
      <c r="B19" s="210" t="s">
        <v>137</v>
      </c>
      <c r="C19" s="112"/>
      <c r="D19" s="41"/>
      <c r="E19" s="12"/>
      <c r="F19" s="12"/>
      <c r="G19" s="12"/>
    </row>
    <row r="20" spans="1:7" ht="18" x14ac:dyDescent="0.35">
      <c r="A20" s="40"/>
      <c r="B20" s="210" t="s">
        <v>138</v>
      </c>
      <c r="C20" s="112">
        <v>20</v>
      </c>
      <c r="D20" s="41"/>
      <c r="E20" s="12"/>
      <c r="F20" s="12"/>
      <c r="G20" s="12"/>
    </row>
    <row r="21" spans="1:7" ht="18" x14ac:dyDescent="0.35">
      <c r="A21" s="40"/>
      <c r="B21" s="210" t="s">
        <v>139</v>
      </c>
      <c r="C21" s="112"/>
      <c r="D21" s="41"/>
      <c r="E21" s="12"/>
      <c r="F21" s="12"/>
      <c r="G21" s="12"/>
    </row>
    <row r="22" spans="1:7" ht="18" x14ac:dyDescent="0.35">
      <c r="A22" s="40"/>
      <c r="B22" s="210" t="s">
        <v>140</v>
      </c>
      <c r="C22" s="112"/>
      <c r="D22" s="41"/>
      <c r="E22" s="12"/>
      <c r="F22" s="12"/>
      <c r="G22" s="12"/>
    </row>
    <row r="23" spans="1:7" ht="18" x14ac:dyDescent="0.35">
      <c r="A23" s="40"/>
      <c r="B23" s="210" t="s">
        <v>130</v>
      </c>
      <c r="C23" s="53">
        <f>B10*40</f>
        <v>0</v>
      </c>
      <c r="D23" s="133" t="s">
        <v>141</v>
      </c>
      <c r="E23" s="12"/>
      <c r="F23" s="12"/>
      <c r="G23" s="12"/>
    </row>
    <row r="24" spans="1:7" ht="18" x14ac:dyDescent="0.35">
      <c r="A24" s="40"/>
      <c r="B24" s="210" t="s">
        <v>142</v>
      </c>
      <c r="C24" s="53">
        <v>200</v>
      </c>
      <c r="D24" s="133" t="s">
        <v>143</v>
      </c>
      <c r="E24" s="12"/>
      <c r="F24" s="12"/>
      <c r="G24" s="12"/>
    </row>
    <row r="25" spans="1:7" ht="18" x14ac:dyDescent="0.35">
      <c r="A25" s="40"/>
      <c r="B25" s="210" t="s">
        <v>144</v>
      </c>
      <c r="C25" s="112"/>
      <c r="D25" s="41"/>
      <c r="E25" s="12"/>
      <c r="F25" s="12"/>
      <c r="G25" s="12"/>
    </row>
    <row r="26" spans="1:7" ht="18" x14ac:dyDescent="0.35">
      <c r="A26" s="40"/>
      <c r="B26" s="210" t="s">
        <v>145</v>
      </c>
      <c r="C26" s="112">
        <v>48</v>
      </c>
      <c r="D26" s="41"/>
      <c r="E26" s="12"/>
      <c r="F26" s="12"/>
      <c r="G26" s="12"/>
    </row>
    <row r="27" spans="1:7" ht="18" x14ac:dyDescent="0.35">
      <c r="A27" s="40"/>
      <c r="B27" s="210" t="s">
        <v>146</v>
      </c>
      <c r="C27" s="112">
        <v>144</v>
      </c>
      <c r="D27" s="41"/>
      <c r="E27" s="12"/>
      <c r="F27" s="12"/>
      <c r="G27" s="12"/>
    </row>
    <row r="28" spans="1:7" ht="18" x14ac:dyDescent="0.35">
      <c r="A28" s="40"/>
      <c r="B28" s="210" t="s">
        <v>147</v>
      </c>
      <c r="C28" s="112"/>
      <c r="D28" s="41"/>
      <c r="E28" s="12"/>
      <c r="F28" s="12"/>
      <c r="G28" s="12"/>
    </row>
    <row r="29" spans="1:7" ht="18" x14ac:dyDescent="0.35">
      <c r="A29" s="40"/>
      <c r="B29" s="210" t="s">
        <v>148</v>
      </c>
      <c r="C29" s="112"/>
      <c r="D29" s="41"/>
      <c r="E29" s="12"/>
      <c r="F29" s="12"/>
      <c r="G29" s="12"/>
    </row>
    <row r="30" spans="1:7" ht="18.600000000000001" thickBot="1" x14ac:dyDescent="0.4">
      <c r="A30" s="40"/>
      <c r="B30" s="54" t="s">
        <v>45</v>
      </c>
      <c r="C30" s="113"/>
      <c r="D30" s="41"/>
      <c r="E30" s="12"/>
      <c r="F30" s="12"/>
      <c r="G30" s="12"/>
    </row>
    <row r="31" spans="1:7" ht="18.600000000000001" thickBot="1" x14ac:dyDescent="0.4">
      <c r="A31" s="40"/>
      <c r="B31" s="213" t="s">
        <v>149</v>
      </c>
      <c r="C31" s="51">
        <f>SUM(C19:C30)</f>
        <v>412</v>
      </c>
      <c r="D31" s="41"/>
      <c r="E31" s="12"/>
      <c r="F31" s="12"/>
      <c r="G31" s="12"/>
    </row>
    <row r="32" spans="1:7" ht="18.600000000000001" thickBot="1" x14ac:dyDescent="0.4">
      <c r="A32" s="40"/>
      <c r="B32" s="208"/>
      <c r="C32" s="57"/>
      <c r="D32" s="41"/>
      <c r="E32" s="12"/>
      <c r="F32" s="12"/>
      <c r="G32" s="12"/>
    </row>
    <row r="33" spans="1:7" ht="18.600000000000001" thickBot="1" x14ac:dyDescent="0.4">
      <c r="A33" s="42" t="s">
        <v>150</v>
      </c>
      <c r="B33" s="208"/>
      <c r="C33" s="51">
        <f>C17-C31</f>
        <v>1386</v>
      </c>
      <c r="D33" s="41"/>
      <c r="E33" s="12"/>
      <c r="F33" s="12"/>
      <c r="G33" s="12"/>
    </row>
    <row r="34" spans="1:7" ht="18.600000000000001" thickBot="1" x14ac:dyDescent="0.4">
      <c r="A34" s="42" t="s">
        <v>151</v>
      </c>
      <c r="B34" s="134">
        <v>0.3</v>
      </c>
      <c r="C34" s="52">
        <f>C33*$B$34</f>
        <v>415.8</v>
      </c>
      <c r="D34" s="41"/>
      <c r="E34" s="12"/>
      <c r="F34" s="12"/>
      <c r="G34" s="12"/>
    </row>
    <row r="35" spans="1:7" ht="18" x14ac:dyDescent="0.35">
      <c r="A35" s="42"/>
      <c r="B35" s="135"/>
      <c r="C35" s="47"/>
      <c r="D35" s="41"/>
      <c r="E35" s="12"/>
      <c r="F35" s="12"/>
      <c r="G35" s="12"/>
    </row>
    <row r="36" spans="1:7" ht="18" x14ac:dyDescent="0.35">
      <c r="A36" s="42" t="s">
        <v>152</v>
      </c>
      <c r="B36" s="208"/>
      <c r="C36" s="136" t="s">
        <v>109</v>
      </c>
      <c r="D36" s="137" t="s">
        <v>153</v>
      </c>
      <c r="E36" s="12"/>
      <c r="F36" s="12"/>
      <c r="G36" s="12"/>
    </row>
    <row r="37" spans="1:7" ht="18" x14ac:dyDescent="0.35">
      <c r="A37" s="40"/>
      <c r="B37" s="208" t="s">
        <v>116</v>
      </c>
      <c r="C37" s="112">
        <v>125</v>
      </c>
      <c r="D37" s="138">
        <f>ROUNDUP(C37/$B$11,0)</f>
        <v>63</v>
      </c>
      <c r="E37" s="12"/>
      <c r="F37" s="12"/>
      <c r="G37" s="12"/>
    </row>
    <row r="38" spans="1:7" ht="18" x14ac:dyDescent="0.35">
      <c r="A38" s="40"/>
      <c r="B38" s="208" t="s">
        <v>154</v>
      </c>
      <c r="C38" s="112">
        <v>24</v>
      </c>
      <c r="D38" s="138">
        <f t="shared" ref="D38:D40" si="0">ROUNDUP(C38/$B$11,0)</f>
        <v>12</v>
      </c>
      <c r="E38" s="12"/>
      <c r="F38" s="12"/>
      <c r="G38" s="12"/>
    </row>
    <row r="39" spans="1:7" ht="18" x14ac:dyDescent="0.35">
      <c r="A39" s="40"/>
      <c r="B39" s="208" t="s">
        <v>155</v>
      </c>
      <c r="C39" s="112"/>
      <c r="D39" s="138">
        <f t="shared" si="0"/>
        <v>0</v>
      </c>
      <c r="E39" s="12"/>
      <c r="F39" s="12"/>
      <c r="G39" s="12"/>
    </row>
    <row r="40" spans="1:7" ht="18" x14ac:dyDescent="0.35">
      <c r="A40" s="40"/>
      <c r="B40" s="208" t="s">
        <v>117</v>
      </c>
      <c r="C40" s="112">
        <v>0</v>
      </c>
      <c r="D40" s="138">
        <f t="shared" si="0"/>
        <v>0</v>
      </c>
      <c r="E40" s="12"/>
      <c r="F40" s="12"/>
      <c r="G40" s="12"/>
    </row>
    <row r="41" spans="1:7" ht="18.600000000000001" thickBot="1" x14ac:dyDescent="0.4">
      <c r="A41" s="40"/>
      <c r="B41" s="27" t="s">
        <v>37</v>
      </c>
      <c r="C41" s="55">
        <f>SUM(C37:C40)</f>
        <v>149</v>
      </c>
      <c r="D41" s="139">
        <f>SUM(D37:D40)</f>
        <v>75</v>
      </c>
      <c r="E41" s="12"/>
      <c r="F41" s="12"/>
      <c r="G41" s="12"/>
    </row>
    <row r="42" spans="1:7" ht="18.600000000000001" thickBot="1" x14ac:dyDescent="0.4">
      <c r="A42" s="40"/>
      <c r="B42" s="201" t="s">
        <v>156</v>
      </c>
      <c r="C42" s="202"/>
      <c r="D42" s="51">
        <f>IF(D41&gt;=C34,C34,D41)</f>
        <v>75</v>
      </c>
      <c r="E42" s="12"/>
      <c r="F42" s="12"/>
      <c r="G42" s="12"/>
    </row>
    <row r="43" spans="1:7" ht="18.600000000000001" thickBot="1" x14ac:dyDescent="0.4">
      <c r="A43" s="40"/>
      <c r="B43" s="214" t="s">
        <v>157</v>
      </c>
      <c r="C43" s="203"/>
      <c r="D43" s="56">
        <f>D41-D42</f>
        <v>0</v>
      </c>
      <c r="E43" s="12"/>
      <c r="F43" s="12"/>
      <c r="G43" s="12"/>
    </row>
    <row r="44" spans="1:7" ht="18.600000000000001" thickBot="1" x14ac:dyDescent="0.4">
      <c r="A44" s="40"/>
      <c r="B44" s="208"/>
      <c r="C44" s="57"/>
      <c r="D44" s="41"/>
      <c r="E44" s="12"/>
      <c r="F44" s="12"/>
      <c r="G44" s="12"/>
    </row>
    <row r="45" spans="1:7" ht="18.600000000000001" thickBot="1" x14ac:dyDescent="0.4">
      <c r="A45" s="42" t="s">
        <v>158</v>
      </c>
      <c r="B45" s="58"/>
      <c r="C45" s="51">
        <f>C34-D42</f>
        <v>340.8</v>
      </c>
      <c r="D45" s="41"/>
      <c r="E45" s="12"/>
      <c r="F45" s="12"/>
      <c r="G45" s="12"/>
    </row>
    <row r="46" spans="1:7" ht="18.600000000000001" thickBot="1" x14ac:dyDescent="0.4">
      <c r="A46" s="42"/>
      <c r="B46" s="58"/>
      <c r="C46" s="59"/>
      <c r="D46" s="41"/>
      <c r="E46" s="12"/>
      <c r="F46" s="12"/>
      <c r="G46" s="12"/>
    </row>
    <row r="47" spans="1:7" ht="48" thickBot="1" x14ac:dyDescent="0.4">
      <c r="A47" s="42" t="s">
        <v>159</v>
      </c>
      <c r="B47" s="58"/>
      <c r="C47" s="110">
        <v>1500</v>
      </c>
      <c r="D47" s="140" t="s">
        <v>160</v>
      </c>
      <c r="E47" s="12"/>
      <c r="F47" s="12"/>
      <c r="G47" s="12"/>
    </row>
    <row r="48" spans="1:7" ht="18" x14ac:dyDescent="0.35">
      <c r="A48" s="40"/>
      <c r="B48" s="208"/>
      <c r="C48" s="57"/>
      <c r="D48" s="41"/>
      <c r="E48" s="12"/>
      <c r="F48" s="12"/>
      <c r="G48" s="12"/>
    </row>
    <row r="49" spans="1:20" ht="21" x14ac:dyDescent="0.4">
      <c r="A49" s="42" t="s">
        <v>161</v>
      </c>
      <c r="B49" s="208"/>
      <c r="C49" s="136" t="s">
        <v>109</v>
      </c>
      <c r="D49" s="137" t="s">
        <v>153</v>
      </c>
      <c r="E49" s="12"/>
      <c r="F49" s="12"/>
      <c r="G49" s="12"/>
      <c r="M49" s="95"/>
      <c r="N49" s="95"/>
      <c r="O49" s="95"/>
      <c r="P49" s="95"/>
      <c r="Q49" s="95"/>
      <c r="R49" s="95"/>
      <c r="S49" s="95"/>
      <c r="T49" s="95"/>
    </row>
    <row r="50" spans="1:20" ht="21" x14ac:dyDescent="0.4">
      <c r="A50" s="42"/>
      <c r="B50" s="210" t="s">
        <v>162</v>
      </c>
      <c r="C50" s="91">
        <f>C4</f>
        <v>1487</v>
      </c>
      <c r="D50" s="138">
        <f>C50/$B$11</f>
        <v>743.5</v>
      </c>
      <c r="E50" s="12"/>
      <c r="F50" s="12"/>
      <c r="G50" s="12"/>
      <c r="M50" s="94"/>
      <c r="N50" s="95"/>
      <c r="O50" s="95"/>
      <c r="P50" s="95"/>
      <c r="Q50" s="95"/>
      <c r="R50" s="95"/>
      <c r="S50" s="95"/>
      <c r="T50" s="95"/>
    </row>
    <row r="51" spans="1:20" ht="21.6" thickBot="1" x14ac:dyDescent="0.45">
      <c r="A51" s="132"/>
      <c r="B51" s="54" t="s">
        <v>159</v>
      </c>
      <c r="C51" s="55">
        <f>C47</f>
        <v>1500</v>
      </c>
      <c r="D51" s="141">
        <f>C51/$B$11</f>
        <v>750</v>
      </c>
      <c r="F51" s="12"/>
      <c r="G51" s="12"/>
      <c r="M51" s="94"/>
      <c r="N51" s="95"/>
      <c r="O51" s="95"/>
      <c r="P51" s="95"/>
      <c r="Q51" s="95"/>
      <c r="R51" s="95"/>
      <c r="S51" s="95"/>
      <c r="T51" s="95"/>
    </row>
    <row r="52" spans="1:20" ht="21" x14ac:dyDescent="0.4">
      <c r="A52" s="132"/>
      <c r="B52" s="201" t="s">
        <v>163</v>
      </c>
      <c r="C52" s="204"/>
      <c r="D52" s="142">
        <f>IF(D51&gt;=D50,IF((D50-C45)&gt;=0,D50-C45,0),IF((D51-C45)&gt;=0,D51-C45,0))</f>
        <v>402.7</v>
      </c>
      <c r="E52" s="12"/>
      <c r="F52" s="12"/>
      <c r="G52" s="12"/>
      <c r="M52" s="94"/>
      <c r="N52" s="95"/>
      <c r="O52" s="95"/>
      <c r="P52" s="95"/>
      <c r="Q52" s="95"/>
      <c r="R52" s="95"/>
      <c r="S52" s="95"/>
      <c r="T52" s="95"/>
    </row>
    <row r="53" spans="1:20" ht="21" x14ac:dyDescent="0.4">
      <c r="A53" s="132"/>
      <c r="B53" s="214" t="s">
        <v>164</v>
      </c>
      <c r="C53" s="200"/>
      <c r="D53" s="142">
        <f>IF(D52&gt;0, D51-D52, D51)</f>
        <v>347.3</v>
      </c>
      <c r="E53" s="12"/>
      <c r="F53" s="12"/>
      <c r="G53" s="12"/>
      <c r="M53" s="95"/>
      <c r="N53" s="95"/>
      <c r="O53" s="95"/>
      <c r="P53" s="95"/>
      <c r="Q53" s="95"/>
      <c r="R53" s="95"/>
      <c r="S53" s="95"/>
      <c r="T53" s="95"/>
    </row>
    <row r="54" spans="1:20" ht="21" x14ac:dyDescent="0.4">
      <c r="A54" s="132"/>
      <c r="B54" s="215"/>
      <c r="C54" s="205"/>
      <c r="D54" s="143"/>
      <c r="E54" s="12"/>
      <c r="F54" s="12"/>
      <c r="G54" s="12"/>
      <c r="M54" s="95"/>
      <c r="N54" s="95"/>
      <c r="O54" s="95"/>
      <c r="P54" s="95"/>
      <c r="Q54" s="95"/>
      <c r="R54" s="95"/>
      <c r="S54" s="95"/>
      <c r="T54" s="95"/>
    </row>
    <row r="55" spans="1:20" ht="21" x14ac:dyDescent="0.4">
      <c r="A55" s="132"/>
      <c r="B55" s="214" t="s">
        <v>200</v>
      </c>
      <c r="C55" s="200"/>
      <c r="D55" s="142">
        <f>D53+D41</f>
        <v>422.3</v>
      </c>
      <c r="F55" s="12"/>
      <c r="G55" s="12"/>
      <c r="M55" s="95"/>
      <c r="N55" s="95"/>
      <c r="O55" s="95"/>
      <c r="P55" s="95"/>
      <c r="Q55" s="95"/>
      <c r="R55" s="95"/>
      <c r="S55" s="95"/>
      <c r="T55" s="95"/>
    </row>
    <row r="56" spans="1:20" ht="21" x14ac:dyDescent="0.4">
      <c r="A56" s="132"/>
      <c r="B56" s="214" t="s">
        <v>165</v>
      </c>
      <c r="C56" s="200"/>
      <c r="D56" s="144">
        <f>D55/$C$17</f>
        <v>0.23487208008898777</v>
      </c>
      <c r="E56" s="12"/>
      <c r="F56" s="12"/>
      <c r="G56" s="12"/>
      <c r="M56" s="95"/>
      <c r="N56" s="94"/>
      <c r="O56" s="95"/>
      <c r="P56" s="95"/>
      <c r="Q56" s="95"/>
      <c r="R56" s="95"/>
      <c r="S56" s="95"/>
      <c r="T56" s="95"/>
    </row>
    <row r="57" spans="1:20" ht="21.6" thickBot="1" x14ac:dyDescent="0.45">
      <c r="A57" s="43"/>
      <c r="B57" s="29" t="s">
        <v>214</v>
      </c>
      <c r="C57" s="145"/>
      <c r="D57" s="44"/>
      <c r="E57" s="12"/>
      <c r="F57" s="12"/>
      <c r="G57" s="12"/>
      <c r="M57" s="95"/>
      <c r="N57" s="95"/>
      <c r="O57" s="95"/>
      <c r="P57" s="95"/>
      <c r="Q57" s="95"/>
      <c r="R57" s="95"/>
      <c r="S57" s="95"/>
      <c r="T57" s="95"/>
    </row>
    <row r="58" spans="1:20" ht="18" x14ac:dyDescent="0.35">
      <c r="A58" s="12"/>
      <c r="B58" s="12"/>
      <c r="C58" s="45"/>
      <c r="D58" s="12"/>
      <c r="E58" s="12"/>
      <c r="F58" s="12"/>
      <c r="G58" s="12"/>
    </row>
    <row r="59" spans="1:20" ht="18" x14ac:dyDescent="0.35">
      <c r="A59" s="12"/>
      <c r="B59" s="12"/>
      <c r="C59" s="45"/>
      <c r="D59" s="12"/>
      <c r="E59" s="12"/>
      <c r="F59" s="12"/>
      <c r="G59" s="12"/>
    </row>
    <row r="60" spans="1:20" ht="18" x14ac:dyDescent="0.35">
      <c r="A60" s="12"/>
      <c r="B60" s="12"/>
      <c r="C60" s="45"/>
      <c r="D60" s="12"/>
      <c r="E60" s="12"/>
      <c r="F60" s="12"/>
      <c r="G60" s="12"/>
    </row>
    <row r="61" spans="1:20" ht="18" x14ac:dyDescent="0.35">
      <c r="A61" s="12"/>
      <c r="B61" s="12"/>
      <c r="C61" s="45"/>
      <c r="D61" s="12"/>
      <c r="E61" s="12"/>
      <c r="F61" s="12"/>
      <c r="G61" s="12"/>
    </row>
    <row r="62" spans="1:20" ht="18" x14ac:dyDescent="0.35">
      <c r="A62" s="12"/>
      <c r="B62" s="12"/>
      <c r="C62" s="45"/>
      <c r="D62" s="12"/>
      <c r="E62" s="12"/>
      <c r="F62" s="12"/>
      <c r="G62" s="12"/>
    </row>
    <row r="63" spans="1:20" ht="18" x14ac:dyDescent="0.35">
      <c r="A63" s="12"/>
      <c r="B63" s="12"/>
      <c r="C63" s="45"/>
      <c r="D63" s="12"/>
      <c r="E63" s="12"/>
      <c r="F63" s="12"/>
      <c r="G63" s="12"/>
    </row>
    <row r="64" spans="1:20" x14ac:dyDescent="0.3">
      <c r="C64" s="60"/>
    </row>
    <row r="65" spans="3:3" x14ac:dyDescent="0.3">
      <c r="C65" s="60"/>
    </row>
    <row r="66" spans="3:3" x14ac:dyDescent="0.3">
      <c r="C66" s="60"/>
    </row>
    <row r="67" spans="3:3" x14ac:dyDescent="0.3">
      <c r="C67" s="60"/>
    </row>
    <row r="68" spans="3:3" x14ac:dyDescent="0.3">
      <c r="C68" s="60"/>
    </row>
    <row r="69" spans="3:3" x14ac:dyDescent="0.3">
      <c r="C69" s="60"/>
    </row>
    <row r="70" spans="3:3" x14ac:dyDescent="0.3">
      <c r="C70" s="60"/>
    </row>
    <row r="71" spans="3:3" x14ac:dyDescent="0.3">
      <c r="C71" s="60"/>
    </row>
    <row r="72" spans="3:3" x14ac:dyDescent="0.3">
      <c r="C72" s="60"/>
    </row>
    <row r="73" spans="3:3" x14ac:dyDescent="0.3">
      <c r="C73" s="60"/>
    </row>
    <row r="74" spans="3:3" x14ac:dyDescent="0.3">
      <c r="C74" s="60"/>
    </row>
    <row r="75" spans="3:3" x14ac:dyDescent="0.3">
      <c r="C75" s="60"/>
    </row>
    <row r="76" spans="3:3" x14ac:dyDescent="0.3">
      <c r="C76" s="60"/>
    </row>
    <row r="77" spans="3:3" x14ac:dyDescent="0.3">
      <c r="C77" s="60"/>
    </row>
    <row r="78" spans="3:3" x14ac:dyDescent="0.3">
      <c r="C78" s="60"/>
    </row>
    <row r="79" spans="3:3" x14ac:dyDescent="0.3">
      <c r="C79" s="60"/>
    </row>
  </sheetData>
  <sheetProtection algorithmName="SHA-512" hashValue="IHlwIwzTh6uGbLLk69vW0fbSPyBIdUKxhoHRhVmWSydx1AcKRb+0B3DCCGmLHaiMKoqKMPhfd/uAt5fZ/BDTcw==" saltValue="TgCOhp8ZlEgMoN2Z+2i0dg==" spinCount="100000" sheet="1" objects="1" scenarios="1" selectLockedCells="1"/>
  <mergeCells count="10">
    <mergeCell ref="D2:D3"/>
    <mergeCell ref="D8:D9"/>
    <mergeCell ref="D5:D6"/>
    <mergeCell ref="B56:C56"/>
    <mergeCell ref="B42:C42"/>
    <mergeCell ref="B43:C43"/>
    <mergeCell ref="B52:C52"/>
    <mergeCell ref="B53:C53"/>
    <mergeCell ref="B54:C54"/>
    <mergeCell ref="B55:C55"/>
  </mergeCells>
  <pageMargins left="0.7" right="0.7" top="0.75" bottom="0.75" header="0.3" footer="0.3"/>
  <pageSetup scale="81" fitToHeight="2" orientation="landscape" r:id="rId1"/>
  <rowBreaks count="1" manualBreakCount="1">
    <brk id="34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2"/>
  <sheetViews>
    <sheetView zoomScale="90" zoomScaleNormal="90" workbookViewId="0">
      <selection activeCell="B6" sqref="B6"/>
    </sheetView>
  </sheetViews>
  <sheetFormatPr defaultColWidth="8.88671875" defaultRowHeight="14.4" x14ac:dyDescent="0.3"/>
  <cols>
    <col min="1" max="1" width="63.44140625" customWidth="1"/>
    <col min="2" max="2" width="14.109375" customWidth="1"/>
    <col min="3" max="3" width="15.109375" style="1" customWidth="1"/>
    <col min="4" max="4" width="22.33203125" bestFit="1" customWidth="1"/>
  </cols>
  <sheetData>
    <row r="1" spans="1:12" ht="22.35" customHeight="1" thickBot="1" x14ac:dyDescent="0.5">
      <c r="A1" s="36" t="s">
        <v>15</v>
      </c>
      <c r="B1" s="37"/>
      <c r="C1" s="38"/>
      <c r="D1" s="39"/>
      <c r="E1" s="12"/>
      <c r="F1" s="3"/>
      <c r="G1" s="3"/>
      <c r="H1" s="3"/>
      <c r="I1" s="3"/>
      <c r="J1" s="3"/>
      <c r="K1" s="3"/>
      <c r="L1" s="3"/>
    </row>
    <row r="2" spans="1:12" ht="22.35" customHeight="1" thickBot="1" x14ac:dyDescent="0.5">
      <c r="A2" s="83"/>
      <c r="B2" s="84"/>
      <c r="C2" s="85"/>
      <c r="D2" s="86"/>
      <c r="E2" s="12"/>
      <c r="F2" s="3"/>
      <c r="G2" s="3"/>
      <c r="H2" s="3"/>
      <c r="I2" s="3"/>
      <c r="J2" s="3"/>
      <c r="K2" s="3"/>
      <c r="L2" s="3"/>
    </row>
    <row r="3" spans="1:12" ht="22.35" customHeight="1" thickBot="1" x14ac:dyDescent="0.5">
      <c r="A3" s="97" t="s">
        <v>118</v>
      </c>
      <c r="B3" s="100"/>
      <c r="C3" s="124">
        <f>Income!D51-'Non Housing Expenses'!C25</f>
        <v>1557.0333333333333</v>
      </c>
      <c r="D3" s="41"/>
      <c r="E3" s="12"/>
      <c r="F3" s="3"/>
      <c r="G3" s="3"/>
      <c r="H3" s="3"/>
      <c r="I3" s="3"/>
      <c r="J3" s="3"/>
      <c r="K3" s="3"/>
      <c r="L3" s="3"/>
    </row>
    <row r="4" spans="1:12" ht="22.35" customHeight="1" x14ac:dyDescent="0.45">
      <c r="A4" s="42"/>
      <c r="B4" s="208"/>
      <c r="C4" s="21" t="s">
        <v>7</v>
      </c>
      <c r="D4" s="41"/>
      <c r="E4" s="12"/>
      <c r="F4" s="3"/>
      <c r="G4" s="3"/>
      <c r="H4" s="3"/>
      <c r="I4" s="3"/>
      <c r="J4" s="3"/>
      <c r="K4" s="3"/>
      <c r="L4" s="3"/>
    </row>
    <row r="5" spans="1:12" ht="22.35" customHeight="1" x14ac:dyDescent="0.45">
      <c r="A5" s="40" t="s">
        <v>235</v>
      </c>
      <c r="B5" s="256"/>
      <c r="C5" s="87">
        <f>'Housing Subsidy'!C47</f>
        <v>1500</v>
      </c>
      <c r="D5" s="41"/>
      <c r="E5" s="12"/>
      <c r="F5" s="3"/>
      <c r="G5" s="3"/>
      <c r="H5" s="3"/>
      <c r="I5" s="3"/>
      <c r="J5" s="3"/>
      <c r="K5" s="3"/>
      <c r="L5" s="3"/>
    </row>
    <row r="6" spans="1:12" ht="22.35" customHeight="1" x14ac:dyDescent="0.45">
      <c r="A6" s="40" t="s">
        <v>178</v>
      </c>
      <c r="B6" s="117">
        <v>0.01</v>
      </c>
      <c r="C6" s="71">
        <f>C5*12*B6/D6/12</f>
        <v>0.75</v>
      </c>
      <c r="D6" s="271">
        <v>20</v>
      </c>
      <c r="E6" s="12"/>
      <c r="F6" s="3"/>
      <c r="G6" s="3"/>
      <c r="H6" s="3"/>
      <c r="I6" s="3"/>
      <c r="J6" s="3"/>
      <c r="K6" s="3"/>
      <c r="L6" s="3"/>
    </row>
    <row r="7" spans="1:12" ht="22.35" customHeight="1" x14ac:dyDescent="0.45">
      <c r="A7" s="40" t="s">
        <v>179</v>
      </c>
      <c r="B7" s="117">
        <v>0.01</v>
      </c>
      <c r="C7" s="71">
        <f>C5*12*B7/D7/12</f>
        <v>0.75</v>
      </c>
      <c r="D7" s="271">
        <v>20</v>
      </c>
      <c r="E7" s="12"/>
      <c r="F7" s="3"/>
      <c r="G7" s="3"/>
      <c r="H7" s="3"/>
      <c r="I7" s="3"/>
      <c r="J7" s="3"/>
      <c r="K7" s="3"/>
      <c r="L7" s="3"/>
    </row>
    <row r="8" spans="1:12" ht="22.35" customHeight="1" x14ac:dyDescent="0.45">
      <c r="A8" s="40" t="s">
        <v>26</v>
      </c>
      <c r="B8" s="208"/>
      <c r="C8" s="112">
        <v>25</v>
      </c>
      <c r="D8" s="41"/>
      <c r="E8" s="12"/>
      <c r="F8" s="3"/>
      <c r="G8" s="3"/>
      <c r="H8" s="3"/>
      <c r="I8" s="3"/>
      <c r="J8" s="3"/>
      <c r="K8" s="3"/>
      <c r="L8" s="3"/>
    </row>
    <row r="9" spans="1:12" ht="22.35" customHeight="1" x14ac:dyDescent="0.45">
      <c r="A9" s="40" t="s">
        <v>238</v>
      </c>
      <c r="B9" s="208"/>
      <c r="C9" s="87">
        <f>'Housing Subsidy'!C38</f>
        <v>24</v>
      </c>
      <c r="D9" s="41"/>
      <c r="E9" s="12"/>
      <c r="F9" s="3"/>
      <c r="G9" s="3"/>
      <c r="H9" s="3"/>
      <c r="I9" s="3"/>
      <c r="J9" s="3"/>
      <c r="K9" s="3"/>
      <c r="L9" s="3"/>
    </row>
    <row r="10" spans="1:12" ht="22.35" customHeight="1" x14ac:dyDescent="0.45">
      <c r="A10" s="40" t="s">
        <v>239</v>
      </c>
      <c r="B10" s="13"/>
      <c r="C10" s="87">
        <f>'Housing Subsidy'!C37</f>
        <v>125</v>
      </c>
      <c r="D10" s="41"/>
      <c r="E10" s="12"/>
      <c r="F10" s="3"/>
      <c r="G10" s="3"/>
      <c r="H10" s="3"/>
      <c r="I10" s="3"/>
      <c r="J10" s="3"/>
      <c r="K10" s="3"/>
      <c r="L10" s="3"/>
    </row>
    <row r="11" spans="1:12" ht="22.35" customHeight="1" x14ac:dyDescent="0.45">
      <c r="A11" s="40" t="s">
        <v>27</v>
      </c>
      <c r="B11" s="208"/>
      <c r="C11" s="118"/>
      <c r="D11" s="41"/>
      <c r="E11" s="12"/>
      <c r="F11" s="3"/>
      <c r="G11" s="3"/>
      <c r="H11" s="3"/>
      <c r="I11" s="3"/>
      <c r="J11" s="3"/>
      <c r="K11" s="3"/>
      <c r="L11" s="3"/>
    </row>
    <row r="12" spans="1:12" ht="22.35" customHeight="1" x14ac:dyDescent="0.45">
      <c r="A12" s="255" t="s">
        <v>119</v>
      </c>
      <c r="B12" s="208"/>
      <c r="C12" s="21"/>
      <c r="D12" s="41"/>
      <c r="E12" s="12"/>
      <c r="F12" s="3"/>
      <c r="G12" s="3"/>
      <c r="H12" s="3"/>
      <c r="I12" s="3"/>
      <c r="J12" s="3"/>
      <c r="K12" s="3"/>
      <c r="L12" s="3"/>
    </row>
    <row r="13" spans="1:12" ht="22.35" customHeight="1" x14ac:dyDescent="0.45">
      <c r="A13" s="42" t="s">
        <v>237</v>
      </c>
      <c r="B13" s="216"/>
      <c r="C13" s="102">
        <f>SUM(C5:C11)</f>
        <v>1675.5</v>
      </c>
      <c r="D13" s="41"/>
      <c r="E13" s="12"/>
      <c r="F13" s="3"/>
      <c r="G13" s="3"/>
      <c r="H13" s="3"/>
      <c r="I13" s="3"/>
      <c r="J13" s="3"/>
      <c r="K13" s="3"/>
      <c r="L13" s="3"/>
    </row>
    <row r="14" spans="1:12" ht="22.35" customHeight="1" x14ac:dyDescent="0.45">
      <c r="A14" s="40" t="s">
        <v>236</v>
      </c>
      <c r="B14" s="257">
        <f>1/'Housing Subsidy'!B11</f>
        <v>0.5</v>
      </c>
      <c r="C14" s="23">
        <f>C13*B14</f>
        <v>837.75</v>
      </c>
      <c r="D14" s="41"/>
      <c r="E14" s="12"/>
      <c r="F14" s="3"/>
      <c r="G14" s="3"/>
      <c r="H14" s="3"/>
      <c r="I14" s="3"/>
      <c r="J14" s="3"/>
      <c r="K14" s="3"/>
      <c r="L14" s="3"/>
    </row>
    <row r="15" spans="1:12" ht="22.35" customHeight="1" thickBot="1" x14ac:dyDescent="0.5">
      <c r="A15" s="40"/>
      <c r="B15" s="208"/>
      <c r="C15" s="208"/>
      <c r="D15" s="41"/>
      <c r="E15" s="12"/>
      <c r="F15" s="3"/>
      <c r="G15" s="3"/>
      <c r="H15" s="3"/>
      <c r="I15" s="3"/>
      <c r="J15" s="3"/>
      <c r="K15" s="3"/>
      <c r="L15" s="3"/>
    </row>
    <row r="16" spans="1:12" ht="22.35" customHeight="1" thickBot="1" x14ac:dyDescent="0.5">
      <c r="A16" s="97" t="s">
        <v>39</v>
      </c>
      <c r="B16" s="100"/>
      <c r="C16" s="101">
        <f>C3-C14</f>
        <v>719.2833333333333</v>
      </c>
      <c r="D16" s="41"/>
      <c r="E16" s="12"/>
      <c r="F16" s="3"/>
      <c r="G16" s="3"/>
      <c r="H16" s="3"/>
      <c r="I16" s="3"/>
      <c r="J16" s="3"/>
      <c r="K16" s="3"/>
      <c r="L16" s="3"/>
    </row>
    <row r="17" spans="1:12" ht="22.35" customHeight="1" thickBot="1" x14ac:dyDescent="0.5">
      <c r="A17" s="97"/>
      <c r="B17" s="100"/>
      <c r="C17" s="270"/>
      <c r="D17" s="41"/>
      <c r="E17" s="12"/>
      <c r="F17" s="3"/>
      <c r="G17" s="3"/>
      <c r="H17" s="3"/>
      <c r="I17" s="3"/>
      <c r="J17" s="3"/>
      <c r="K17" s="3"/>
      <c r="L17" s="3"/>
    </row>
    <row r="18" spans="1:12" ht="22.35" customHeight="1" thickBot="1" x14ac:dyDescent="0.5">
      <c r="A18" s="78" t="s">
        <v>36</v>
      </c>
      <c r="B18" s="79"/>
      <c r="C18" s="79">
        <f>C14/Income!D51</f>
        <v>0.37923827918697472</v>
      </c>
      <c r="D18" s="88"/>
      <c r="E18" s="12"/>
      <c r="F18" s="3"/>
      <c r="G18" s="3"/>
      <c r="H18" s="3"/>
      <c r="I18" s="3"/>
      <c r="J18" s="3"/>
      <c r="K18" s="3"/>
      <c r="L18" s="3"/>
    </row>
    <row r="19" spans="1:12" ht="22.35" customHeight="1" x14ac:dyDescent="0.45">
      <c r="A19" s="12"/>
      <c r="B19" s="12"/>
      <c r="C19" s="72"/>
      <c r="D19" s="12"/>
      <c r="E19" s="12"/>
      <c r="F19" s="3"/>
      <c r="G19" s="3"/>
      <c r="H19" s="3"/>
      <c r="I19" s="3"/>
      <c r="J19" s="3"/>
      <c r="K19" s="3"/>
      <c r="L19" s="3"/>
    </row>
    <row r="20" spans="1:12" ht="22.35" customHeight="1" x14ac:dyDescent="0.3"/>
    <row r="21" spans="1:12" ht="22.35" customHeight="1" x14ac:dyDescent="0.3"/>
    <row r="22" spans="1:12" ht="22.35" customHeight="1" x14ac:dyDescent="0.3"/>
  </sheetData>
  <sheetProtection algorithmName="SHA-512" hashValue="1iH7DkDrG8fb2TtIoNmHlv2O18aN3+tahJSCwyrn+d+cKWQrAYrJIS0A4RAlxjWstZYQxZFT5b1J1cidYdK7yw==" saltValue="82dgB2n7ll9xEoPChFimBQ==" spinCount="100000" sheet="1" objects="1" scenarios="1" selectLockedCells="1"/>
  <pageMargins left="0.7" right="0.7" top="0.75" bottom="0.75" header="0.3" footer="0.3"/>
  <pageSetup orientation="landscape" r:id="rId1"/>
  <customProperties>
    <customPr name="SSC_SHEET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2"/>
  <sheetViews>
    <sheetView topLeftCell="A4" zoomScale="90" zoomScaleNormal="90" workbookViewId="0">
      <selection activeCell="C4" sqref="C4"/>
    </sheetView>
  </sheetViews>
  <sheetFormatPr defaultColWidth="8.88671875" defaultRowHeight="23.4" x14ac:dyDescent="0.45"/>
  <cols>
    <col min="1" max="1" width="25.44140625" customWidth="1"/>
    <col min="2" max="2" width="25.44140625" style="3" bestFit="1" customWidth="1"/>
    <col min="3" max="3" width="21.109375" bestFit="1" customWidth="1"/>
    <col min="4" max="4" width="6.33203125" style="3" bestFit="1" customWidth="1"/>
    <col min="5" max="5" width="15.6640625" style="3" customWidth="1"/>
    <col min="6" max="6" width="21.33203125" customWidth="1"/>
    <col min="7" max="7" width="32.44140625" style="3" customWidth="1"/>
    <col min="8" max="8" width="11.6640625" style="8" bestFit="1" customWidth="1"/>
    <col min="9" max="9" width="13.109375" style="2" customWidth="1"/>
    <col min="10" max="10" width="2.6640625" customWidth="1"/>
    <col min="11" max="11" width="22.109375" style="3" customWidth="1"/>
    <col min="12" max="12" width="2.33203125" customWidth="1"/>
    <col min="13" max="13" width="15.33203125" style="4" customWidth="1"/>
    <col min="14" max="14" width="2" customWidth="1"/>
  </cols>
  <sheetData>
    <row r="1" spans="1:13" ht="22.35" customHeight="1" x14ac:dyDescent="0.35">
      <c r="A1" s="36" t="s">
        <v>202</v>
      </c>
      <c r="B1" s="37"/>
      <c r="C1" s="37"/>
      <c r="D1" s="37"/>
      <c r="E1" s="37"/>
      <c r="F1" s="258"/>
      <c r="G1"/>
      <c r="H1"/>
      <c r="I1"/>
      <c r="K1"/>
      <c r="M1"/>
    </row>
    <row r="2" spans="1:13" ht="22.35" customHeight="1" x14ac:dyDescent="0.35">
      <c r="A2" s="40"/>
      <c r="B2" s="216" t="s">
        <v>0</v>
      </c>
      <c r="C2" s="208"/>
      <c r="D2" s="208"/>
      <c r="E2" s="208"/>
      <c r="F2" s="176"/>
      <c r="G2"/>
      <c r="H2"/>
      <c r="I2"/>
      <c r="K2"/>
      <c r="M2"/>
    </row>
    <row r="3" spans="1:13" ht="22.35" customHeight="1" x14ac:dyDescent="0.35">
      <c r="A3" s="40"/>
      <c r="B3" s="208"/>
      <c r="C3" s="208" t="s">
        <v>8</v>
      </c>
      <c r="D3" s="208" t="s">
        <v>9</v>
      </c>
      <c r="E3" s="208" t="s">
        <v>32</v>
      </c>
      <c r="F3" s="259" t="s">
        <v>7</v>
      </c>
      <c r="G3"/>
      <c r="H3"/>
      <c r="I3"/>
      <c r="K3"/>
      <c r="M3"/>
    </row>
    <row r="4" spans="1:13" ht="22.35" customHeight="1" x14ac:dyDescent="0.35">
      <c r="A4" s="40"/>
      <c r="B4" s="208" t="s">
        <v>11</v>
      </c>
      <c r="C4" s="107">
        <v>15000</v>
      </c>
      <c r="D4" s="260">
        <v>20</v>
      </c>
      <c r="E4" s="260">
        <v>10</v>
      </c>
      <c r="F4" s="261">
        <f t="shared" ref="F4:F11" si="0">C4/E4/12</f>
        <v>125</v>
      </c>
      <c r="G4"/>
      <c r="H4"/>
      <c r="I4"/>
      <c r="K4"/>
      <c r="M4"/>
    </row>
    <row r="5" spans="1:13" ht="22.35" customHeight="1" x14ac:dyDescent="0.35">
      <c r="A5" s="40"/>
      <c r="B5" s="208" t="s">
        <v>1</v>
      </c>
      <c r="C5" s="107">
        <v>6000</v>
      </c>
      <c r="D5" s="260">
        <v>20</v>
      </c>
      <c r="E5" s="260">
        <v>5</v>
      </c>
      <c r="F5" s="261">
        <f t="shared" si="0"/>
        <v>100</v>
      </c>
      <c r="G5"/>
      <c r="H5"/>
      <c r="I5"/>
      <c r="K5"/>
      <c r="M5"/>
    </row>
    <row r="6" spans="1:13" ht="22.35" customHeight="1" x14ac:dyDescent="0.35">
      <c r="A6" s="40"/>
      <c r="B6" s="208" t="s">
        <v>2</v>
      </c>
      <c r="C6" s="107">
        <v>2000</v>
      </c>
      <c r="D6" s="260">
        <v>10</v>
      </c>
      <c r="E6" s="260">
        <v>5</v>
      </c>
      <c r="F6" s="261">
        <f t="shared" si="0"/>
        <v>33.333333333333336</v>
      </c>
      <c r="G6"/>
      <c r="H6"/>
      <c r="I6"/>
      <c r="K6"/>
      <c r="M6"/>
    </row>
    <row r="7" spans="1:13" ht="22.35" customHeight="1" x14ac:dyDescent="0.35">
      <c r="A7" s="40"/>
      <c r="B7" s="208" t="s">
        <v>29</v>
      </c>
      <c r="C7" s="107">
        <v>500</v>
      </c>
      <c r="D7" s="260">
        <v>7</v>
      </c>
      <c r="E7" s="260">
        <v>3</v>
      </c>
      <c r="F7" s="261">
        <f t="shared" si="0"/>
        <v>13.888888888888888</v>
      </c>
      <c r="G7"/>
      <c r="H7"/>
      <c r="I7"/>
      <c r="K7"/>
      <c r="M7"/>
    </row>
    <row r="8" spans="1:13" ht="22.35" customHeight="1" x14ac:dyDescent="0.35">
      <c r="A8" s="40"/>
      <c r="B8" s="208" t="s">
        <v>10</v>
      </c>
      <c r="C8" s="107">
        <v>11000</v>
      </c>
      <c r="D8" s="260">
        <v>10</v>
      </c>
      <c r="E8" s="260">
        <v>6</v>
      </c>
      <c r="F8" s="261">
        <f t="shared" si="0"/>
        <v>152.77777777777777</v>
      </c>
      <c r="G8"/>
      <c r="H8"/>
      <c r="I8"/>
      <c r="K8"/>
      <c r="M8"/>
    </row>
    <row r="9" spans="1:13" ht="22.35" customHeight="1" x14ac:dyDescent="0.35">
      <c r="A9" s="40"/>
      <c r="B9" s="208" t="s">
        <v>3</v>
      </c>
      <c r="C9" s="107">
        <v>8000</v>
      </c>
      <c r="D9" s="260">
        <v>15</v>
      </c>
      <c r="E9" s="260">
        <v>5</v>
      </c>
      <c r="F9" s="261">
        <f t="shared" si="0"/>
        <v>133.33333333333334</v>
      </c>
      <c r="G9"/>
      <c r="H9"/>
      <c r="I9"/>
      <c r="K9"/>
      <c r="M9"/>
    </row>
    <row r="10" spans="1:13" ht="22.35" customHeight="1" x14ac:dyDescent="0.35">
      <c r="A10" s="42"/>
      <c r="B10" s="208" t="s">
        <v>30</v>
      </c>
      <c r="C10" s="107">
        <v>3000</v>
      </c>
      <c r="D10" s="260">
        <v>15</v>
      </c>
      <c r="E10" s="260">
        <v>10</v>
      </c>
      <c r="F10" s="261">
        <f t="shared" si="0"/>
        <v>25</v>
      </c>
      <c r="G10"/>
      <c r="H10"/>
      <c r="I10"/>
      <c r="K10"/>
      <c r="M10"/>
    </row>
    <row r="11" spans="1:13" ht="22.35" customHeight="1" x14ac:dyDescent="0.35">
      <c r="A11" s="42"/>
      <c r="B11" s="208" t="s">
        <v>27</v>
      </c>
      <c r="C11" s="107"/>
      <c r="D11" s="260">
        <v>10</v>
      </c>
      <c r="E11" s="260">
        <v>1</v>
      </c>
      <c r="F11" s="261">
        <f t="shared" si="0"/>
        <v>0</v>
      </c>
      <c r="G11"/>
      <c r="H11"/>
      <c r="I11"/>
      <c r="K11"/>
      <c r="M11"/>
    </row>
    <row r="12" spans="1:13" ht="22.35" customHeight="1" x14ac:dyDescent="0.35">
      <c r="A12" s="40"/>
      <c r="B12" s="208"/>
      <c r="C12" s="208"/>
      <c r="D12" s="208"/>
      <c r="E12" s="217" t="s">
        <v>112</v>
      </c>
      <c r="F12" s="262">
        <f>SUM(F4:F11)</f>
        <v>583.33333333333337</v>
      </c>
      <c r="G12"/>
      <c r="H12"/>
      <c r="I12"/>
      <c r="K12"/>
      <c r="M12"/>
    </row>
    <row r="13" spans="1:13" ht="22.35" customHeight="1" x14ac:dyDescent="0.35">
      <c r="A13" s="40"/>
      <c r="B13" s="208" t="s">
        <v>21</v>
      </c>
      <c r="C13" s="208"/>
      <c r="D13" s="208"/>
      <c r="E13" s="208"/>
      <c r="F13" s="263"/>
      <c r="G13"/>
      <c r="H13"/>
      <c r="I13"/>
      <c r="K13"/>
      <c r="M13"/>
    </row>
    <row r="14" spans="1:13" ht="22.35" customHeight="1" x14ac:dyDescent="0.35">
      <c r="A14" s="40"/>
      <c r="B14" s="208"/>
      <c r="C14" s="208" t="s">
        <v>31</v>
      </c>
      <c r="D14" s="208"/>
      <c r="E14" s="208"/>
      <c r="F14" s="264">
        <v>200</v>
      </c>
      <c r="G14"/>
      <c r="H14"/>
      <c r="I14"/>
      <c r="K14"/>
      <c r="M14"/>
    </row>
    <row r="15" spans="1:13" ht="22.35" customHeight="1" x14ac:dyDescent="0.35">
      <c r="A15" s="40"/>
      <c r="B15" s="208"/>
      <c r="C15" s="208" t="s">
        <v>5</v>
      </c>
      <c r="D15" s="208"/>
      <c r="E15" s="208"/>
      <c r="F15" s="264">
        <v>125</v>
      </c>
      <c r="G15"/>
      <c r="H15"/>
      <c r="I15"/>
      <c r="K15"/>
      <c r="M15"/>
    </row>
    <row r="16" spans="1:13" ht="22.35" customHeight="1" x14ac:dyDescent="0.35">
      <c r="A16" s="40"/>
      <c r="B16" s="208"/>
      <c r="C16" s="208" t="s">
        <v>27</v>
      </c>
      <c r="D16" s="208"/>
      <c r="E16" s="208"/>
      <c r="F16" s="264">
        <v>20</v>
      </c>
      <c r="G16"/>
      <c r="H16"/>
      <c r="I16"/>
      <c r="K16"/>
      <c r="M16"/>
    </row>
    <row r="17" spans="1:13" ht="22.35" customHeight="1" x14ac:dyDescent="0.35">
      <c r="A17" s="40"/>
      <c r="B17" s="208"/>
      <c r="C17" s="208"/>
      <c r="D17" s="208"/>
      <c r="E17" s="217" t="s">
        <v>114</v>
      </c>
      <c r="F17" s="265">
        <f>SUM(F13:F16)</f>
        <v>345</v>
      </c>
      <c r="G17"/>
      <c r="H17"/>
      <c r="I17"/>
      <c r="K17"/>
      <c r="M17"/>
    </row>
    <row r="18" spans="1:13" ht="22.35" customHeight="1" x14ac:dyDescent="0.35">
      <c r="A18" s="40"/>
      <c r="B18" s="208" t="s">
        <v>115</v>
      </c>
      <c r="C18" s="208"/>
      <c r="D18" s="208"/>
      <c r="E18" s="208"/>
      <c r="F18" s="266"/>
      <c r="G18"/>
      <c r="H18"/>
      <c r="I18"/>
      <c r="K18"/>
      <c r="M18"/>
    </row>
    <row r="19" spans="1:13" ht="22.35" customHeight="1" x14ac:dyDescent="0.35">
      <c r="A19" s="40"/>
      <c r="B19" s="208"/>
      <c r="C19" s="208" t="s">
        <v>116</v>
      </c>
      <c r="D19" s="77"/>
      <c r="E19" s="208"/>
      <c r="F19" s="267">
        <f>'Housing Subsidy'!C37</f>
        <v>125</v>
      </c>
      <c r="G19"/>
      <c r="H19"/>
      <c r="I19"/>
      <c r="K19"/>
      <c r="M19"/>
    </row>
    <row r="20" spans="1:13" ht="22.35" customHeight="1" x14ac:dyDescent="0.35">
      <c r="A20" s="40"/>
      <c r="B20" s="208"/>
      <c r="C20" s="208" t="s">
        <v>117</v>
      </c>
      <c r="D20" s="77"/>
      <c r="E20" s="208"/>
      <c r="F20" s="267">
        <f>'Housing Subsidy'!C40</f>
        <v>0</v>
      </c>
      <c r="G20"/>
      <c r="H20"/>
      <c r="I20"/>
      <c r="K20"/>
      <c r="M20"/>
    </row>
    <row r="21" spans="1:13" ht="22.35" customHeight="1" x14ac:dyDescent="0.35">
      <c r="A21" s="40"/>
      <c r="B21" s="208"/>
      <c r="C21" s="208" t="s">
        <v>71</v>
      </c>
      <c r="D21" s="208"/>
      <c r="E21" s="208"/>
      <c r="F21" s="267">
        <f>'Housing Subsidy'!C38</f>
        <v>24</v>
      </c>
      <c r="G21"/>
      <c r="H21"/>
      <c r="I21"/>
      <c r="K21"/>
      <c r="M21"/>
    </row>
    <row r="22" spans="1:13" ht="22.35" customHeight="1" x14ac:dyDescent="0.35">
      <c r="A22" s="40"/>
      <c r="B22" s="208"/>
      <c r="C22" s="208" t="s">
        <v>27</v>
      </c>
      <c r="D22" s="208"/>
      <c r="E22" s="208"/>
      <c r="F22" s="264">
        <v>20</v>
      </c>
      <c r="G22"/>
      <c r="H22"/>
      <c r="I22"/>
      <c r="K22"/>
      <c r="M22"/>
    </row>
    <row r="23" spans="1:13" ht="22.35" customHeight="1" x14ac:dyDescent="0.35">
      <c r="A23" s="40"/>
      <c r="B23" s="208"/>
      <c r="C23" s="208"/>
      <c r="D23" s="208"/>
      <c r="E23" s="217" t="s">
        <v>37</v>
      </c>
      <c r="F23" s="262">
        <f>SUM(F19:F22)</f>
        <v>169</v>
      </c>
      <c r="G23"/>
      <c r="H23"/>
      <c r="I23"/>
      <c r="K23"/>
      <c r="M23"/>
    </row>
    <row r="24" spans="1:13" ht="22.35" customHeight="1" x14ac:dyDescent="0.35">
      <c r="A24" s="40"/>
      <c r="B24" s="208"/>
      <c r="C24" s="208"/>
      <c r="D24" s="208"/>
      <c r="E24" s="208"/>
      <c r="F24" s="176"/>
      <c r="G24"/>
      <c r="H24"/>
      <c r="I24"/>
      <c r="K24"/>
      <c r="M24"/>
    </row>
    <row r="25" spans="1:13" ht="22.35" customHeight="1" x14ac:dyDescent="0.35">
      <c r="A25" s="40" t="s">
        <v>34</v>
      </c>
      <c r="B25" s="73"/>
      <c r="C25" s="21"/>
      <c r="D25" s="208"/>
      <c r="E25" s="216" t="s">
        <v>19</v>
      </c>
      <c r="F25" s="176" t="s">
        <v>7</v>
      </c>
      <c r="G25"/>
      <c r="H25"/>
      <c r="I25"/>
      <c r="K25"/>
      <c r="M25"/>
    </row>
    <row r="26" spans="1:13" ht="22.35" customHeight="1" x14ac:dyDescent="0.35">
      <c r="A26" s="40" t="s">
        <v>16</v>
      </c>
      <c r="B26" s="73"/>
      <c r="C26" s="107">
        <v>400000</v>
      </c>
      <c r="D26" s="208"/>
      <c r="E26" s="208" t="s">
        <v>6</v>
      </c>
      <c r="F26" s="261">
        <f>C30</f>
        <v>2448.3131822593941</v>
      </c>
      <c r="G26"/>
      <c r="H26"/>
      <c r="I26"/>
      <c r="K26"/>
      <c r="M26"/>
    </row>
    <row r="27" spans="1:13" ht="18" x14ac:dyDescent="0.35">
      <c r="A27" s="40" t="s">
        <v>55</v>
      </c>
      <c r="B27" s="117">
        <v>0.1</v>
      </c>
      <c r="C27" s="23">
        <f>C26*B27</f>
        <v>40000</v>
      </c>
      <c r="D27" s="208"/>
      <c r="E27" s="208" t="s">
        <v>20</v>
      </c>
      <c r="F27" s="261">
        <f>C31/12</f>
        <v>666.66666666666663</v>
      </c>
      <c r="G27"/>
      <c r="H27"/>
      <c r="I27"/>
      <c r="K27"/>
      <c r="M27"/>
    </row>
    <row r="28" spans="1:13" ht="18" x14ac:dyDescent="0.35">
      <c r="A28" s="40" t="s">
        <v>17</v>
      </c>
      <c r="B28" s="117">
        <v>0.02</v>
      </c>
      <c r="C28" s="23">
        <f>C26*B28</f>
        <v>8000</v>
      </c>
      <c r="D28" s="208"/>
      <c r="E28" s="208" t="s">
        <v>72</v>
      </c>
      <c r="F28" s="264">
        <v>100</v>
      </c>
      <c r="G28"/>
      <c r="H28"/>
      <c r="I28"/>
      <c r="K28"/>
      <c r="M28"/>
    </row>
    <row r="29" spans="1:13" ht="18" x14ac:dyDescent="0.35">
      <c r="A29" s="40" t="s">
        <v>18</v>
      </c>
      <c r="B29" s="103"/>
      <c r="C29" s="23">
        <f>(C26+C28)-C27</f>
        <v>368000</v>
      </c>
      <c r="D29" s="208"/>
      <c r="E29" s="208" t="s">
        <v>4</v>
      </c>
      <c r="F29" s="261">
        <f>F23</f>
        <v>169</v>
      </c>
      <c r="G29"/>
      <c r="H29"/>
      <c r="I29"/>
      <c r="K29"/>
      <c r="M29"/>
    </row>
    <row r="30" spans="1:13" ht="18" x14ac:dyDescent="0.35">
      <c r="A30" s="40" t="s">
        <v>33</v>
      </c>
      <c r="B30" s="117">
        <v>7.0000000000000007E-2</v>
      </c>
      <c r="C30" s="74">
        <f>Mortgage!B10</f>
        <v>2448.3131822593941</v>
      </c>
      <c r="D30" s="208"/>
      <c r="E30" s="208" t="s">
        <v>21</v>
      </c>
      <c r="F30" s="261">
        <f>F17</f>
        <v>345</v>
      </c>
      <c r="G30"/>
      <c r="H30"/>
      <c r="I30"/>
      <c r="K30"/>
      <c r="M30"/>
    </row>
    <row r="31" spans="1:13" ht="18" x14ac:dyDescent="0.35">
      <c r="A31" s="40" t="s">
        <v>35</v>
      </c>
      <c r="B31" s="117">
        <v>0.02</v>
      </c>
      <c r="C31" s="23">
        <f>C26*B31</f>
        <v>8000</v>
      </c>
      <c r="D31" s="208"/>
      <c r="E31" s="208" t="s">
        <v>0</v>
      </c>
      <c r="F31" s="261">
        <f>F12</f>
        <v>583.33333333333337</v>
      </c>
      <c r="G31"/>
      <c r="H31"/>
      <c r="I31"/>
      <c r="K31"/>
      <c r="M31"/>
    </row>
    <row r="32" spans="1:13" ht="18" x14ac:dyDescent="0.35">
      <c r="A32" s="40"/>
      <c r="B32" s="73"/>
      <c r="C32" s="21"/>
      <c r="D32" s="208"/>
      <c r="E32" s="208" t="s">
        <v>27</v>
      </c>
      <c r="F32" s="264">
        <v>50</v>
      </c>
      <c r="G32" s="93"/>
      <c r="H32"/>
      <c r="I32"/>
      <c r="K32"/>
      <c r="M32"/>
    </row>
    <row r="33" spans="1:13" ht="18" x14ac:dyDescent="0.35">
      <c r="A33" s="40"/>
      <c r="B33" s="73"/>
      <c r="C33" s="34"/>
      <c r="D33" s="208"/>
      <c r="E33" s="208"/>
      <c r="F33" s="176"/>
      <c r="G33"/>
      <c r="H33"/>
      <c r="I33"/>
      <c r="K33"/>
      <c r="M33"/>
    </row>
    <row r="34" spans="1:13" ht="18" x14ac:dyDescent="0.35">
      <c r="A34" s="42" t="s">
        <v>225</v>
      </c>
      <c r="B34" s="73"/>
      <c r="C34" s="21"/>
      <c r="D34" s="208"/>
      <c r="E34" s="211"/>
      <c r="F34" s="268">
        <f>SUM(F26:F33)</f>
        <v>4362.3131822593941</v>
      </c>
      <c r="G34"/>
      <c r="H34"/>
      <c r="I34"/>
      <c r="K34"/>
      <c r="M34"/>
    </row>
    <row r="35" spans="1:13" ht="18" x14ac:dyDescent="0.35">
      <c r="A35" s="40" t="s">
        <v>113</v>
      </c>
      <c r="B35" s="75"/>
      <c r="C35" s="76"/>
      <c r="D35" s="208"/>
      <c r="E35" s="208"/>
      <c r="F35" s="160">
        <v>5000</v>
      </c>
      <c r="G35"/>
      <c r="H35"/>
      <c r="I35"/>
      <c r="K35"/>
      <c r="M35"/>
    </row>
    <row r="36" spans="1:13" ht="18.600000000000001" thickBot="1" x14ac:dyDescent="0.4">
      <c r="A36" s="40"/>
      <c r="B36" s="73"/>
      <c r="C36" s="21"/>
      <c r="D36" s="208"/>
      <c r="E36" s="208"/>
      <c r="F36" s="41"/>
      <c r="G36"/>
      <c r="H36"/>
      <c r="I36"/>
      <c r="K36"/>
      <c r="M36"/>
    </row>
    <row r="37" spans="1:13" ht="18.600000000000001" thickBot="1" x14ac:dyDescent="0.4">
      <c r="A37" s="97" t="s">
        <v>223</v>
      </c>
      <c r="B37" s="98"/>
      <c r="C37" s="99"/>
      <c r="D37" s="100"/>
      <c r="E37" s="101">
        <f>Income!D51-'Non Housing Expenses'!C25</f>
        <v>1557.0333333333333</v>
      </c>
      <c r="F37" s="41"/>
      <c r="G37"/>
      <c r="H37"/>
      <c r="I37"/>
      <c r="K37"/>
      <c r="M37"/>
    </row>
    <row r="38" spans="1:13" ht="18" x14ac:dyDescent="0.35">
      <c r="A38" s="40" t="s">
        <v>236</v>
      </c>
      <c r="B38" s="73"/>
      <c r="C38" s="21"/>
      <c r="D38" s="208"/>
      <c r="E38" s="134">
        <f>1/'Housing Subsidy'!B11</f>
        <v>0.5</v>
      </c>
      <c r="F38" s="269">
        <f>E38*F34</f>
        <v>2181.1565911296971</v>
      </c>
      <c r="G38"/>
      <c r="H38"/>
      <c r="I38"/>
      <c r="K38"/>
      <c r="M38"/>
    </row>
    <row r="39" spans="1:13" ht="18.600000000000001" thickBot="1" x14ac:dyDescent="0.4">
      <c r="A39" s="40"/>
      <c r="B39" s="73"/>
      <c r="C39" s="21"/>
      <c r="D39" s="208"/>
      <c r="E39" s="208"/>
      <c r="F39" s="41"/>
      <c r="G39"/>
      <c r="H39"/>
      <c r="I39"/>
      <c r="K39"/>
      <c r="M39"/>
    </row>
    <row r="40" spans="1:13" ht="18.600000000000001" thickBot="1" x14ac:dyDescent="0.4">
      <c r="A40" s="97" t="s">
        <v>224</v>
      </c>
      <c r="B40" s="98"/>
      <c r="C40" s="99"/>
      <c r="D40" s="100"/>
      <c r="E40" s="100"/>
      <c r="F40" s="123">
        <f>E37-F38</f>
        <v>-624.12325779636376</v>
      </c>
      <c r="G40"/>
      <c r="H40"/>
      <c r="I40"/>
      <c r="K40"/>
      <c r="M40"/>
    </row>
    <row r="41" spans="1:13" ht="18.600000000000001" thickBot="1" x14ac:dyDescent="0.4">
      <c r="A41" s="40"/>
      <c r="B41" s="73"/>
      <c r="C41" s="21"/>
      <c r="D41" s="208"/>
      <c r="E41" s="208"/>
      <c r="F41" s="41"/>
      <c r="G41"/>
      <c r="H41"/>
      <c r="I41"/>
      <c r="K41"/>
      <c r="M41"/>
    </row>
    <row r="42" spans="1:13" ht="18.600000000000001" thickBot="1" x14ac:dyDescent="0.4">
      <c r="A42" s="78" t="s">
        <v>36</v>
      </c>
      <c r="B42" s="79"/>
      <c r="C42" s="80"/>
      <c r="D42" s="81"/>
      <c r="E42" s="82">
        <f>F38/Income!D51</f>
        <v>0.98738056968947074</v>
      </c>
      <c r="F42" s="44"/>
      <c r="G42"/>
      <c r="H42"/>
      <c r="I42"/>
      <c r="K42"/>
      <c r="M42"/>
    </row>
  </sheetData>
  <sheetProtection algorithmName="SHA-512" hashValue="98sk28Qlxc5utwuSiGnommZaVJJt9YBhiRcwieHtUhy0gRPlJaMFPyz5b08oDwPzYH4NNW7osJVwdryiwEKNaw==" saltValue="/AQRf3A2GQzgfVeviw6+UQ==" spinCount="100000" sheet="1" objects="1" scenarios="1" selectLockedCells="1"/>
  <pageMargins left="0.7" right="0.7" top="0.75" bottom="0.75" header="0.3" footer="0.3"/>
  <pageSetup scale="77" orientation="portrait" r:id="rId1"/>
  <customProperties>
    <customPr name="SSC_SHEET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4DAE-B05C-43A3-A773-FDD595983A7D}">
  <sheetPr>
    <pageSetUpPr fitToPage="1"/>
  </sheetPr>
  <dimension ref="A1:F30"/>
  <sheetViews>
    <sheetView tabSelected="1" zoomScale="90" zoomScaleNormal="90" workbookViewId="0">
      <selection activeCell="F3" sqref="F3"/>
    </sheetView>
  </sheetViews>
  <sheetFormatPr defaultRowHeight="14.4" x14ac:dyDescent="0.3"/>
  <cols>
    <col min="1" max="1" width="25.33203125" customWidth="1"/>
    <col min="2" max="2" width="16.44140625" customWidth="1"/>
    <col min="3" max="3" width="28.44140625" bestFit="1" customWidth="1"/>
    <col min="4" max="4" width="2.109375" customWidth="1"/>
    <col min="5" max="5" width="21.6640625" bestFit="1" customWidth="1"/>
    <col min="6" max="6" width="13.88671875" customWidth="1"/>
  </cols>
  <sheetData>
    <row r="1" spans="1:6" ht="18" x14ac:dyDescent="0.35">
      <c r="A1" s="96" t="s">
        <v>201</v>
      </c>
      <c r="B1" s="37"/>
      <c r="C1" s="37"/>
      <c r="D1" s="37"/>
      <c r="E1" s="37"/>
      <c r="F1" s="258"/>
    </row>
    <row r="2" spans="1:6" ht="18" x14ac:dyDescent="0.35">
      <c r="A2" s="40"/>
      <c r="B2" s="216" t="s">
        <v>21</v>
      </c>
      <c r="C2" s="208"/>
      <c r="D2" s="208"/>
      <c r="E2" s="208"/>
      <c r="F2" s="157" t="s">
        <v>7</v>
      </c>
    </row>
    <row r="3" spans="1:6" ht="18" x14ac:dyDescent="0.35">
      <c r="A3" s="40"/>
      <c r="B3" s="208"/>
      <c r="C3" s="208" t="s">
        <v>203</v>
      </c>
      <c r="D3" s="208"/>
      <c r="E3" s="208"/>
      <c r="F3" s="264">
        <v>500</v>
      </c>
    </row>
    <row r="4" spans="1:6" ht="18" x14ac:dyDescent="0.35">
      <c r="A4" s="40"/>
      <c r="B4" s="208"/>
      <c r="C4" s="208" t="s">
        <v>5</v>
      </c>
      <c r="D4" s="208"/>
      <c r="E4" s="208"/>
      <c r="F4" s="264">
        <v>10</v>
      </c>
    </row>
    <row r="5" spans="1:6" ht="18" x14ac:dyDescent="0.35">
      <c r="A5" s="40"/>
      <c r="B5" s="208"/>
      <c r="C5" s="208" t="s">
        <v>27</v>
      </c>
      <c r="D5" s="208"/>
      <c r="E5" s="208"/>
      <c r="F5" s="264">
        <v>20</v>
      </c>
    </row>
    <row r="6" spans="1:6" ht="18" x14ac:dyDescent="0.35">
      <c r="A6" s="40"/>
      <c r="B6" s="208"/>
      <c r="C6" s="208"/>
      <c r="D6" s="208"/>
      <c r="E6" s="217" t="s">
        <v>114</v>
      </c>
      <c r="F6" s="265">
        <f>SUM(F2:F5)</f>
        <v>530</v>
      </c>
    </row>
    <row r="7" spans="1:6" ht="18" x14ac:dyDescent="0.35">
      <c r="A7" s="40"/>
      <c r="B7" s="216" t="s">
        <v>115</v>
      </c>
      <c r="C7" s="208"/>
      <c r="D7" s="208"/>
      <c r="E7" s="208"/>
      <c r="F7" s="266"/>
    </row>
    <row r="8" spans="1:6" ht="18" x14ac:dyDescent="0.35">
      <c r="A8" s="40"/>
      <c r="B8" s="208"/>
      <c r="C8" s="208" t="s">
        <v>116</v>
      </c>
      <c r="D8" s="77"/>
      <c r="E8" s="208"/>
      <c r="F8" s="267">
        <f>'Housing Subsidy'!C37</f>
        <v>125</v>
      </c>
    </row>
    <row r="9" spans="1:6" ht="18" x14ac:dyDescent="0.35">
      <c r="A9" s="40"/>
      <c r="B9" s="208"/>
      <c r="C9" s="208" t="s">
        <v>117</v>
      </c>
      <c r="D9" s="77"/>
      <c r="E9" s="208"/>
      <c r="F9" s="267">
        <f>'Housing Subsidy'!C40</f>
        <v>0</v>
      </c>
    </row>
    <row r="10" spans="1:6" ht="18" x14ac:dyDescent="0.35">
      <c r="A10" s="40"/>
      <c r="B10" s="208"/>
      <c r="C10" s="208" t="s">
        <v>71</v>
      </c>
      <c r="D10" s="208"/>
      <c r="E10" s="208"/>
      <c r="F10" s="267">
        <f>'Housing Subsidy'!C38</f>
        <v>24</v>
      </c>
    </row>
    <row r="11" spans="1:6" ht="18" x14ac:dyDescent="0.35">
      <c r="A11" s="40"/>
      <c r="B11" s="208"/>
      <c r="C11" s="208" t="s">
        <v>27</v>
      </c>
      <c r="D11" s="208"/>
      <c r="E11" s="208"/>
      <c r="F11" s="264">
        <v>20</v>
      </c>
    </row>
    <row r="12" spans="1:6" ht="18" x14ac:dyDescent="0.35">
      <c r="A12" s="40"/>
      <c r="B12" s="208"/>
      <c r="C12" s="208"/>
      <c r="D12" s="208"/>
      <c r="E12" s="217" t="s">
        <v>37</v>
      </c>
      <c r="F12" s="262">
        <f>SUM(F8:F11)</f>
        <v>169</v>
      </c>
    </row>
    <row r="13" spans="1:6" ht="18" x14ac:dyDescent="0.35">
      <c r="A13" s="40"/>
      <c r="B13" s="208"/>
      <c r="C13" s="208"/>
      <c r="D13" s="208"/>
      <c r="E13" s="208"/>
      <c r="F13" s="41"/>
    </row>
    <row r="14" spans="1:6" ht="18" x14ac:dyDescent="0.35">
      <c r="A14" s="40" t="s">
        <v>34</v>
      </c>
      <c r="B14" s="73"/>
      <c r="C14" s="21"/>
      <c r="D14" s="208"/>
      <c r="E14" s="216" t="s">
        <v>19</v>
      </c>
      <c r="F14" s="176" t="s">
        <v>7</v>
      </c>
    </row>
    <row r="15" spans="1:6" ht="18" x14ac:dyDescent="0.35">
      <c r="A15" s="40" t="s">
        <v>16</v>
      </c>
      <c r="B15" s="73"/>
      <c r="C15" s="107">
        <v>200000</v>
      </c>
      <c r="D15" s="208"/>
      <c r="E15" s="208" t="s">
        <v>6</v>
      </c>
      <c r="F15" s="261">
        <f>C19</f>
        <v>1199.1010503055047</v>
      </c>
    </row>
    <row r="16" spans="1:6" ht="18" x14ac:dyDescent="0.35">
      <c r="A16" s="40" t="s">
        <v>55</v>
      </c>
      <c r="B16" s="117">
        <v>0.1</v>
      </c>
      <c r="C16" s="23">
        <f>C15*B16</f>
        <v>20000</v>
      </c>
      <c r="D16" s="208"/>
      <c r="E16" s="208" t="s">
        <v>20</v>
      </c>
      <c r="F16" s="261">
        <f>C20/12</f>
        <v>250</v>
      </c>
    </row>
    <row r="17" spans="1:6" ht="18" x14ac:dyDescent="0.35">
      <c r="A17" s="40" t="s">
        <v>17</v>
      </c>
      <c r="B17" s="117">
        <v>0.02</v>
      </c>
      <c r="C17" s="23">
        <f>C15*B17</f>
        <v>4000</v>
      </c>
      <c r="D17" s="208"/>
      <c r="E17" s="208" t="s">
        <v>72</v>
      </c>
      <c r="F17" s="264">
        <v>25</v>
      </c>
    </row>
    <row r="18" spans="1:6" ht="18" x14ac:dyDescent="0.35">
      <c r="A18" s="40" t="s">
        <v>18</v>
      </c>
      <c r="B18" s="103"/>
      <c r="C18" s="23">
        <f>(C15+C17)-C16</f>
        <v>184000</v>
      </c>
      <c r="D18" s="208"/>
      <c r="E18" s="208" t="s">
        <v>4</v>
      </c>
      <c r="F18" s="261">
        <f>F12</f>
        <v>169</v>
      </c>
    </row>
    <row r="19" spans="1:6" ht="18" x14ac:dyDescent="0.35">
      <c r="A19" s="40" t="s">
        <v>33</v>
      </c>
      <c r="B19" s="117">
        <v>0.06</v>
      </c>
      <c r="C19" s="74">
        <f>Mortgage!C10</f>
        <v>1199.1010503055047</v>
      </c>
      <c r="D19" s="208"/>
      <c r="E19" s="208" t="s">
        <v>21</v>
      </c>
      <c r="F19" s="261">
        <f>F6</f>
        <v>530</v>
      </c>
    </row>
    <row r="20" spans="1:6" ht="18" x14ac:dyDescent="0.35">
      <c r="A20" s="40" t="s">
        <v>35</v>
      </c>
      <c r="B20" s="117">
        <v>1.4999999999999999E-2</v>
      </c>
      <c r="C20" s="23">
        <f>C15*B20</f>
        <v>3000</v>
      </c>
      <c r="D20" s="208"/>
      <c r="E20" s="208" t="s">
        <v>27</v>
      </c>
      <c r="F20" s="264"/>
    </row>
    <row r="21" spans="1:6" ht="18" x14ac:dyDescent="0.35">
      <c r="A21" s="40"/>
      <c r="B21" s="73"/>
      <c r="C21" s="34"/>
      <c r="D21" s="208"/>
      <c r="E21" s="208"/>
      <c r="F21" s="176"/>
    </row>
    <row r="22" spans="1:6" ht="18" x14ac:dyDescent="0.35">
      <c r="A22" s="42" t="s">
        <v>225</v>
      </c>
      <c r="B22" s="73"/>
      <c r="C22" s="21"/>
      <c r="D22" s="208"/>
      <c r="E22" s="208"/>
      <c r="F22" s="268">
        <f>SUM(F15:F21)</f>
        <v>2173.1010503055049</v>
      </c>
    </row>
    <row r="23" spans="1:6" ht="18" x14ac:dyDescent="0.35">
      <c r="A23" s="40" t="s">
        <v>113</v>
      </c>
      <c r="B23" s="75"/>
      <c r="C23" s="76"/>
      <c r="D23" s="208"/>
      <c r="E23" s="208"/>
      <c r="F23" s="160">
        <v>5000</v>
      </c>
    </row>
    <row r="24" spans="1:6" ht="18.600000000000001" thickBot="1" x14ac:dyDescent="0.4">
      <c r="A24" s="40"/>
      <c r="B24" s="73"/>
      <c r="C24" s="21"/>
      <c r="D24" s="208"/>
      <c r="E24" s="208"/>
      <c r="F24" s="41"/>
    </row>
    <row r="25" spans="1:6" ht="18.600000000000001" thickBot="1" x14ac:dyDescent="0.4">
      <c r="A25" s="97" t="s">
        <v>223</v>
      </c>
      <c r="B25" s="98"/>
      <c r="C25" s="99"/>
      <c r="D25" s="100"/>
      <c r="E25" s="101">
        <f>Income!D51-'Non Housing Expenses'!C25</f>
        <v>1557.0333333333333</v>
      </c>
      <c r="F25" s="41"/>
    </row>
    <row r="26" spans="1:6" ht="18" x14ac:dyDescent="0.35">
      <c r="A26" s="40" t="s">
        <v>236</v>
      </c>
      <c r="B26" s="73"/>
      <c r="C26" s="21"/>
      <c r="D26" s="208"/>
      <c r="E26" s="257">
        <f>1/'Housing Subsidy'!B11</f>
        <v>0.5</v>
      </c>
      <c r="F26" s="269">
        <f>F22*E26</f>
        <v>1086.5505251527525</v>
      </c>
    </row>
    <row r="27" spans="1:6" ht="18.600000000000001" thickBot="1" x14ac:dyDescent="0.4">
      <c r="A27" s="40"/>
      <c r="B27" s="73"/>
      <c r="C27" s="21"/>
      <c r="D27" s="208"/>
      <c r="E27" s="208"/>
      <c r="F27" s="41"/>
    </row>
    <row r="28" spans="1:6" ht="18.600000000000001" thickBot="1" x14ac:dyDescent="0.4">
      <c r="A28" s="97" t="s">
        <v>224</v>
      </c>
      <c r="B28" s="98"/>
      <c r="C28" s="99"/>
      <c r="D28" s="100"/>
      <c r="E28" s="100"/>
      <c r="F28" s="123">
        <f>E25-F26</f>
        <v>470.48280818058083</v>
      </c>
    </row>
    <row r="29" spans="1:6" ht="18.600000000000001" thickBot="1" x14ac:dyDescent="0.4">
      <c r="A29" s="40"/>
      <c r="B29" s="73"/>
      <c r="C29" s="21"/>
      <c r="D29" s="208"/>
      <c r="E29" s="208"/>
      <c r="F29" s="41"/>
    </row>
    <row r="30" spans="1:6" ht="18.600000000000001" thickBot="1" x14ac:dyDescent="0.4">
      <c r="A30" s="78" t="s">
        <v>36</v>
      </c>
      <c r="B30" s="79"/>
      <c r="C30" s="80"/>
      <c r="D30" s="81"/>
      <c r="E30" s="82">
        <f>F26/Income!D51</f>
        <v>0.49186696676649777</v>
      </c>
      <c r="F30" s="44"/>
    </row>
  </sheetData>
  <sheetProtection algorithmName="SHA-512" hashValue="LW06nuLwZJVAaSeN3tfo/KRk6sIm2TR/SCjaIN4tKIhuQF8epUyoR2XXXmKGKFqfQ2UERuO9bXo6vZNoLexkdg==" saltValue="sE+Me0VrIrm6d01pJjdHew==" spinCount="100000" sheet="1" objects="1" scenarios="1" selectLockedCells="1"/>
  <pageMargins left="0.7" right="0.7" top="0.75" bottom="0.75" header="0.3" footer="0.3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E22B-A6FC-4EEC-87C6-F9F21A5E25EF}">
  <dimension ref="B2:G30"/>
  <sheetViews>
    <sheetView zoomScale="80" zoomScaleNormal="80" workbookViewId="0">
      <selection activeCell="B8" sqref="B8"/>
    </sheetView>
  </sheetViews>
  <sheetFormatPr defaultColWidth="8.88671875" defaultRowHeight="14.4" x14ac:dyDescent="0.3"/>
  <cols>
    <col min="2" max="2" width="65.44140625" bestFit="1" customWidth="1"/>
    <col min="3" max="3" width="13.77734375" customWidth="1"/>
    <col min="4" max="4" width="9" bestFit="1" customWidth="1"/>
  </cols>
  <sheetData>
    <row r="2" spans="2:7" ht="18" x14ac:dyDescent="0.35">
      <c r="B2" s="12"/>
      <c r="C2" s="12"/>
      <c r="D2" s="12"/>
      <c r="E2" s="12"/>
      <c r="F2" s="12"/>
      <c r="G2" s="12"/>
    </row>
    <row r="3" spans="2:7" ht="18" x14ac:dyDescent="0.35">
      <c r="B3" s="12" t="s">
        <v>166</v>
      </c>
      <c r="C3" s="12"/>
      <c r="D3" s="12"/>
      <c r="E3" s="12"/>
      <c r="F3" s="12"/>
      <c r="G3" s="12"/>
    </row>
    <row r="4" spans="2:7" ht="18" x14ac:dyDescent="0.35">
      <c r="B4" s="12" t="s">
        <v>167</v>
      </c>
      <c r="C4" s="12"/>
      <c r="D4" s="12"/>
      <c r="E4" s="12"/>
      <c r="F4" s="12"/>
      <c r="G4" s="12"/>
    </row>
    <row r="5" spans="2:7" ht="18" x14ac:dyDescent="0.35">
      <c r="B5" s="12" t="s">
        <v>168</v>
      </c>
      <c r="C5" s="12"/>
      <c r="D5" s="12"/>
      <c r="E5" s="12"/>
      <c r="F5" s="12"/>
      <c r="G5" s="12"/>
    </row>
    <row r="6" spans="2:7" ht="18" x14ac:dyDescent="0.35">
      <c r="B6" s="61" t="s">
        <v>234</v>
      </c>
      <c r="C6" s="23">
        <v>1046</v>
      </c>
      <c r="D6" s="12"/>
      <c r="E6" s="12"/>
      <c r="F6" s="12"/>
      <c r="G6" s="12"/>
    </row>
    <row r="7" spans="2:7" ht="18" x14ac:dyDescent="0.35">
      <c r="B7" s="12"/>
      <c r="C7" s="12"/>
      <c r="D7" s="12"/>
      <c r="E7" s="12"/>
      <c r="F7" s="12"/>
      <c r="G7" s="12"/>
    </row>
    <row r="8" spans="2:7" ht="18" x14ac:dyDescent="0.35">
      <c r="B8" s="119"/>
      <c r="C8" s="62" t="s">
        <v>7</v>
      </c>
      <c r="D8" s="62" t="s">
        <v>57</v>
      </c>
      <c r="E8" s="12"/>
      <c r="F8" s="12"/>
      <c r="G8" s="12"/>
    </row>
    <row r="9" spans="2:7" ht="18" x14ac:dyDescent="0.35">
      <c r="B9" s="12" t="s">
        <v>93</v>
      </c>
      <c r="C9" s="107"/>
      <c r="D9" s="63">
        <f>C9*12</f>
        <v>0</v>
      </c>
      <c r="E9" s="12"/>
      <c r="F9" s="12"/>
      <c r="G9" s="12"/>
    </row>
    <row r="10" spans="2:7" ht="18" x14ac:dyDescent="0.35">
      <c r="B10" s="12" t="s">
        <v>169</v>
      </c>
      <c r="C10" s="107"/>
      <c r="D10" s="63">
        <f t="shared" ref="D10:D12" si="0">C10*12</f>
        <v>0</v>
      </c>
      <c r="E10" s="12"/>
      <c r="F10" s="12"/>
      <c r="G10" s="12"/>
    </row>
    <row r="11" spans="2:7" ht="18" x14ac:dyDescent="0.35">
      <c r="B11" s="12" t="s">
        <v>170</v>
      </c>
      <c r="C11" s="107"/>
      <c r="D11" s="63">
        <f t="shared" si="0"/>
        <v>0</v>
      </c>
      <c r="E11" s="12"/>
      <c r="F11" s="12"/>
      <c r="G11" s="12"/>
    </row>
    <row r="12" spans="2:7" ht="18" x14ac:dyDescent="0.35">
      <c r="B12" s="12" t="s">
        <v>171</v>
      </c>
      <c r="C12" s="107">
        <v>0</v>
      </c>
      <c r="D12" s="63">
        <f t="shared" si="0"/>
        <v>0</v>
      </c>
      <c r="E12" s="12"/>
      <c r="F12" s="12"/>
      <c r="G12" s="12"/>
    </row>
    <row r="13" spans="2:7" ht="18" x14ac:dyDescent="0.35">
      <c r="B13" s="12"/>
      <c r="C13" s="21"/>
      <c r="D13" s="12"/>
      <c r="E13" s="12"/>
      <c r="F13" s="12"/>
      <c r="G13" s="12"/>
    </row>
    <row r="14" spans="2:7" ht="18" x14ac:dyDescent="0.35">
      <c r="B14" s="12" t="s">
        <v>172</v>
      </c>
      <c r="C14" s="64">
        <f>SUM(C9:C12)</f>
        <v>0</v>
      </c>
      <c r="D14" s="65">
        <f>C14*12</f>
        <v>0</v>
      </c>
      <c r="E14" s="12"/>
      <c r="F14" s="12"/>
      <c r="G14" s="12"/>
    </row>
    <row r="15" spans="2:7" ht="18.600000000000001" thickBot="1" x14ac:dyDescent="0.4">
      <c r="B15" s="12"/>
      <c r="C15" s="21"/>
      <c r="D15" s="12"/>
      <c r="E15" s="12"/>
      <c r="F15" s="12"/>
      <c r="G15" s="12"/>
    </row>
    <row r="16" spans="2:7" ht="18" x14ac:dyDescent="0.35">
      <c r="B16" s="12" t="s">
        <v>173</v>
      </c>
      <c r="C16" s="120"/>
      <c r="D16" s="12"/>
      <c r="E16" s="12"/>
      <c r="F16" s="12"/>
      <c r="G16" s="12"/>
    </row>
    <row r="17" spans="2:7" ht="18.600000000000001" thickBot="1" x14ac:dyDescent="0.4">
      <c r="B17" s="12" t="s">
        <v>174</v>
      </c>
      <c r="C17" s="121"/>
      <c r="D17" s="12"/>
      <c r="E17" s="12"/>
      <c r="F17" s="12"/>
      <c r="G17" s="12"/>
    </row>
    <row r="18" spans="2:7" ht="18" x14ac:dyDescent="0.35">
      <c r="B18" s="12"/>
      <c r="C18" s="12"/>
      <c r="D18" s="32"/>
      <c r="E18" s="12"/>
      <c r="F18" s="12"/>
      <c r="G18" s="12"/>
    </row>
    <row r="19" spans="2:7" ht="18" x14ac:dyDescent="0.35">
      <c r="B19" s="12" t="s">
        <v>175</v>
      </c>
      <c r="C19" s="122">
        <v>51</v>
      </c>
      <c r="D19" s="65">
        <f t="shared" ref="D19:D20" si="1">C19*12</f>
        <v>612</v>
      </c>
      <c r="E19" s="12"/>
      <c r="F19" s="12"/>
      <c r="G19" s="12"/>
    </row>
    <row r="20" spans="2:7" ht="18" x14ac:dyDescent="0.35">
      <c r="B20" s="30" t="s">
        <v>176</v>
      </c>
      <c r="C20" s="64" t="b">
        <f>(IF(C16&gt;D14,C17-(C14*B21),IF(D14&gt;C16,0)))</f>
        <v>0</v>
      </c>
      <c r="D20" s="65">
        <f t="shared" si="1"/>
        <v>0</v>
      </c>
      <c r="E20" s="12"/>
      <c r="F20" s="12"/>
      <c r="G20" s="12"/>
    </row>
    <row r="21" spans="2:7" ht="18" x14ac:dyDescent="0.35">
      <c r="B21" s="34">
        <v>0.3</v>
      </c>
      <c r="C21" s="12"/>
      <c r="D21" s="12"/>
      <c r="E21" s="12"/>
      <c r="F21" s="12"/>
      <c r="G21" s="12"/>
    </row>
    <row r="22" spans="2:7" ht="18" x14ac:dyDescent="0.35">
      <c r="B22" s="12"/>
      <c r="C22" s="12"/>
      <c r="D22" s="12"/>
      <c r="E22" s="12"/>
      <c r="F22" s="12"/>
      <c r="G22" s="12"/>
    </row>
    <row r="23" spans="2:7" ht="18" x14ac:dyDescent="0.35">
      <c r="D23" s="12"/>
      <c r="E23" s="12"/>
      <c r="F23" s="12"/>
      <c r="G23" s="12"/>
    </row>
    <row r="24" spans="2:7" ht="18" x14ac:dyDescent="0.35">
      <c r="B24" s="12"/>
      <c r="C24" s="12"/>
      <c r="D24" s="12"/>
      <c r="E24" s="12"/>
      <c r="F24" s="12"/>
      <c r="G24" s="12"/>
    </row>
    <row r="25" spans="2:7" ht="18" x14ac:dyDescent="0.35">
      <c r="B25" s="12"/>
      <c r="C25" s="12"/>
      <c r="D25" s="12"/>
      <c r="E25" s="12"/>
      <c r="F25" s="12"/>
      <c r="G25" s="12"/>
    </row>
    <row r="26" spans="2:7" ht="18" x14ac:dyDescent="0.35">
      <c r="B26" s="12"/>
      <c r="C26" s="66"/>
      <c r="D26" s="12"/>
      <c r="E26" s="12"/>
      <c r="F26" s="12"/>
      <c r="G26" s="12"/>
    </row>
    <row r="27" spans="2:7" ht="18" x14ac:dyDescent="0.35">
      <c r="B27" s="12"/>
      <c r="C27" s="12"/>
      <c r="D27" s="12"/>
      <c r="E27" s="12"/>
      <c r="F27" s="12"/>
      <c r="G27" s="12"/>
    </row>
    <row r="28" spans="2:7" ht="18" x14ac:dyDescent="0.35">
      <c r="B28" s="12"/>
      <c r="C28" s="12"/>
      <c r="D28" s="12"/>
      <c r="E28" s="12"/>
      <c r="F28" s="12"/>
      <c r="G28" s="12"/>
    </row>
    <row r="29" spans="2:7" ht="18" x14ac:dyDescent="0.35">
      <c r="B29" s="12"/>
      <c r="C29" s="12"/>
      <c r="D29" s="12"/>
      <c r="E29" s="12"/>
      <c r="F29" s="12"/>
      <c r="G29" s="12"/>
    </row>
    <row r="30" spans="2:7" ht="18" x14ac:dyDescent="0.35">
      <c r="B30" s="12"/>
      <c r="C30" s="12"/>
      <c r="D30" s="12"/>
      <c r="E30" s="12"/>
      <c r="F30" s="12"/>
      <c r="G30" s="12"/>
    </row>
  </sheetData>
  <sheetProtection algorithmName="SHA-512" hashValue="bqhqsdMHCjBfSmBvfJRnvjFyM+ND6BiOVie7dxcjAxVP/IqTyRab/NQAEuaPgWtSD4bYjoS4D6emIPFVE+yTdQ==" saltValue="WYHuYMw7x2Vo2kn+Ycm5JA==" spinCount="100000" sheet="1" objects="1" scenarios="1" selectLockedCells="1"/>
  <pageMargins left="0.7" right="0.7" top="0.75" bottom="0.75" header="0.3" footer="0.3"/>
  <customProperties>
    <customPr name="SSC_SHEET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Intro</vt:lpstr>
      <vt:lpstr>Income</vt:lpstr>
      <vt:lpstr>Savings</vt:lpstr>
      <vt:lpstr>Non Housing Expenses</vt:lpstr>
      <vt:lpstr>Housing Subsidy</vt:lpstr>
      <vt:lpstr>Rent</vt:lpstr>
      <vt:lpstr>Own (House)</vt:lpstr>
      <vt:lpstr>Own (Co-Op, Condo)</vt:lpstr>
      <vt:lpstr>Group</vt:lpstr>
      <vt:lpstr>Mortgage</vt:lpstr>
      <vt:lpstr>'Housing Subsidy'!Print_Area</vt:lpstr>
      <vt:lpstr>Income!Print_Area</vt:lpstr>
      <vt:lpstr>Intro!Print_Area</vt:lpstr>
      <vt:lpstr>'Non Housing Expenses'!Print_Area</vt:lpstr>
      <vt:lpstr>'Own (Co-Op, Condo)'!Print_Area</vt:lpstr>
      <vt:lpstr>'Own (House)'!Print_Area</vt:lpstr>
      <vt:lpstr>Rent!Print_Area</vt:lpstr>
      <vt:lpstr>Savings!Print_Area</vt:lpstr>
    </vt:vector>
  </TitlesOfParts>
  <Company>Westchester Institute for Human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jmaltby</dc:creator>
  <cp:lastModifiedBy>Seth Greenman</cp:lastModifiedBy>
  <cp:lastPrinted>2025-09-05T19:19:14Z</cp:lastPrinted>
  <dcterms:created xsi:type="dcterms:W3CDTF">2015-08-25T18:36:14Z</dcterms:created>
  <dcterms:modified xsi:type="dcterms:W3CDTF">2025-12-18T21:14:52Z</dcterms:modified>
</cp:coreProperties>
</file>